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/>
  <mc:AlternateContent xmlns:mc="http://schemas.openxmlformats.org/markup-compatibility/2006">
    <mc:Choice Requires="x15">
      <x15ac:absPath xmlns:x15ac="http://schemas.microsoft.com/office/spreadsheetml/2010/11/ac" url="C:\Users\iUser\Desktop\Εnv - Engineering\8ο ΕΞΑΜΗΝΟ\Υδραυλικά Έργα\"/>
    </mc:Choice>
  </mc:AlternateContent>
  <xr:revisionPtr revIDLastSave="0" documentId="13_ncr:1_{1A2FF90B-3544-4E47-BD37-7E88B35888EF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Δεδομένα εκφώνησης" sheetId="5" r:id="rId1"/>
    <sheet name="1.1" sheetId="6" r:id="rId2"/>
    <sheet name="1.2" sheetId="7" r:id="rId3"/>
    <sheet name="1.3 " sheetId="9" r:id="rId4"/>
    <sheet name="1.5" sheetId="11" r:id="rId5"/>
    <sheet name="1.6" sheetId="12" r:id="rId6"/>
    <sheet name="1.7" sheetId="13" r:id="rId7"/>
    <sheet name="1.3 β" sheetId="10" state="hidden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13" l="1"/>
  <c r="B24" i="12"/>
  <c r="B25" i="12" s="1"/>
  <c r="D3" i="12"/>
  <c r="D5" i="12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4" i="12"/>
  <c r="H5" i="13"/>
  <c r="H6" i="13"/>
  <c r="I6" i="13" s="1"/>
  <c r="H7" i="13"/>
  <c r="I7" i="13" s="1"/>
  <c r="H8" i="13"/>
  <c r="I8" i="13" s="1"/>
  <c r="H9" i="13"/>
  <c r="I9" i="13" s="1"/>
  <c r="H10" i="13"/>
  <c r="I10" i="13" s="1"/>
  <c r="H11" i="13"/>
  <c r="I11" i="13" s="1"/>
  <c r="H12" i="13"/>
  <c r="I12" i="13" s="1"/>
  <c r="H13" i="13"/>
  <c r="H14" i="13"/>
  <c r="H15" i="13"/>
  <c r="I15" i="13" s="1"/>
  <c r="H16" i="13"/>
  <c r="I16" i="13" s="1"/>
  <c r="H17" i="13"/>
  <c r="I17" i="13" s="1"/>
  <c r="H18" i="13"/>
  <c r="H19" i="13"/>
  <c r="I13" i="13"/>
  <c r="I14" i="13"/>
  <c r="I18" i="13"/>
  <c r="I19" i="13"/>
  <c r="C19" i="13"/>
  <c r="C18" i="13"/>
  <c r="C17" i="13"/>
  <c r="C16" i="13"/>
  <c r="C15" i="13"/>
  <c r="C14" i="13"/>
  <c r="C13" i="13"/>
  <c r="C12" i="13"/>
  <c r="C11" i="13"/>
  <c r="C10" i="13"/>
  <c r="C9" i="13"/>
  <c r="C8" i="13"/>
  <c r="C7" i="13"/>
  <c r="C6" i="13"/>
  <c r="C5" i="13"/>
  <c r="HM18" i="11"/>
  <c r="HL18" i="11"/>
  <c r="HK18" i="11"/>
  <c r="HF18" i="11"/>
  <c r="HE18" i="11"/>
  <c r="HD18" i="11"/>
  <c r="GV16" i="11"/>
  <c r="GY16" i="11" s="1"/>
  <c r="HB16" i="11" s="1"/>
  <c r="GU10" i="11"/>
  <c r="GX10" i="11" s="1"/>
  <c r="GZ4" i="11"/>
  <c r="HC4" i="11" s="1"/>
  <c r="GZ5" i="11"/>
  <c r="HC5" i="11" s="1"/>
  <c r="GZ11" i="11"/>
  <c r="HC11" i="11" s="1"/>
  <c r="GZ12" i="11"/>
  <c r="HC12" i="11" s="1"/>
  <c r="GZ13" i="11"/>
  <c r="HC13" i="11" s="1"/>
  <c r="GZ14" i="11"/>
  <c r="HC14" i="11" s="1"/>
  <c r="GZ15" i="11"/>
  <c r="HC15" i="11" s="1"/>
  <c r="GZ16" i="11"/>
  <c r="HC16" i="11" s="1"/>
  <c r="GZ17" i="11"/>
  <c r="HJ17" i="11" s="1"/>
  <c r="GZ3" i="11"/>
  <c r="HC3" i="11" s="1"/>
  <c r="GY4" i="11"/>
  <c r="HI4" i="11" s="1"/>
  <c r="GY5" i="11"/>
  <c r="HB5" i="11" s="1"/>
  <c r="GY7" i="11"/>
  <c r="HB7" i="11" s="1"/>
  <c r="GY8" i="11"/>
  <c r="HB8" i="11" s="1"/>
  <c r="GY13" i="11"/>
  <c r="HB13" i="11" s="1"/>
  <c r="GY14" i="11"/>
  <c r="HI14" i="11" s="1"/>
  <c r="GY17" i="11"/>
  <c r="HB17" i="11" s="1"/>
  <c r="GY3" i="11"/>
  <c r="HB3" i="11" s="1"/>
  <c r="GX4" i="11"/>
  <c r="HA4" i="11" s="1"/>
  <c r="GX3" i="11"/>
  <c r="HA3" i="11" s="1"/>
  <c r="GW10" i="11"/>
  <c r="GZ10" i="11" s="1"/>
  <c r="HC10" i="11" s="1"/>
  <c r="GW9" i="11"/>
  <c r="GZ9" i="11" s="1"/>
  <c r="HJ9" i="11" s="1"/>
  <c r="GW8" i="11"/>
  <c r="GZ8" i="11" s="1"/>
  <c r="HC8" i="11" s="1"/>
  <c r="GW7" i="11"/>
  <c r="GZ7" i="11" s="1"/>
  <c r="HC7" i="11" s="1"/>
  <c r="GW6" i="11"/>
  <c r="GZ6" i="11" s="1"/>
  <c r="HC6" i="11" s="1"/>
  <c r="GV15" i="11"/>
  <c r="GY15" i="11" s="1"/>
  <c r="HB15" i="11" s="1"/>
  <c r="GV12" i="11"/>
  <c r="GY12" i="11" s="1"/>
  <c r="HB12" i="11" s="1"/>
  <c r="GV11" i="11"/>
  <c r="GY11" i="11" s="1"/>
  <c r="HB11" i="11" s="1"/>
  <c r="GV10" i="11"/>
  <c r="GY10" i="11" s="1"/>
  <c r="HB10" i="11" s="1"/>
  <c r="GV9" i="11"/>
  <c r="GY9" i="11" s="1"/>
  <c r="HB9" i="11" s="1"/>
  <c r="GV6" i="11"/>
  <c r="GY6" i="11" s="1"/>
  <c r="HB6" i="11" s="1"/>
  <c r="GU17" i="11"/>
  <c r="GX17" i="11" s="1"/>
  <c r="HA17" i="11" s="1"/>
  <c r="GU16" i="11"/>
  <c r="GX16" i="11" s="1"/>
  <c r="HA16" i="11" s="1"/>
  <c r="GU15" i="11"/>
  <c r="GX15" i="11" s="1"/>
  <c r="HH15" i="11" s="1"/>
  <c r="GU14" i="11"/>
  <c r="GX14" i="11" s="1"/>
  <c r="HA14" i="11" s="1"/>
  <c r="GU13" i="11"/>
  <c r="GX13" i="11" s="1"/>
  <c r="HA13" i="11" s="1"/>
  <c r="GU12" i="11"/>
  <c r="GX12" i="11" s="1"/>
  <c r="HA12" i="11" s="1"/>
  <c r="GU11" i="11"/>
  <c r="GX11" i="11" s="1"/>
  <c r="HH11" i="11" s="1"/>
  <c r="GU9" i="11"/>
  <c r="GX9" i="11" s="1"/>
  <c r="HA9" i="11" s="1"/>
  <c r="GU8" i="11"/>
  <c r="GX8" i="11" s="1"/>
  <c r="HA8" i="11" s="1"/>
  <c r="GU7" i="11"/>
  <c r="GX7" i="11" s="1"/>
  <c r="HA7" i="11" s="1"/>
  <c r="GU6" i="11"/>
  <c r="GX6" i="11" s="1"/>
  <c r="GD3" i="11" a="1"/>
  <c r="GD3" i="11" s="1"/>
  <c r="FL3" i="11" a="1"/>
  <c r="FL3" i="11" s="1"/>
  <c r="DV3" i="11" a="1"/>
  <c r="EF3" i="11" s="1"/>
  <c r="C8" i="11"/>
  <c r="B8" i="11"/>
  <c r="C10" i="9"/>
  <c r="D54" i="9"/>
  <c r="C54" i="9"/>
  <c r="W39" i="9"/>
  <c r="Z39" i="9" s="1"/>
  <c r="W38" i="9"/>
  <c r="Z38" i="9" s="1"/>
  <c r="C39" i="9"/>
  <c r="D39" i="9" s="1"/>
  <c r="C38" i="9"/>
  <c r="K38" i="9" s="1"/>
  <c r="K8" i="9"/>
  <c r="E38" i="9" s="1"/>
  <c r="H7" i="7"/>
  <c r="H4" i="7"/>
  <c r="W41" i="9"/>
  <c r="Z41" i="9" s="1"/>
  <c r="V41" i="9"/>
  <c r="U41" i="9"/>
  <c r="T41" i="9"/>
  <c r="S41" i="9"/>
  <c r="C41" i="9"/>
  <c r="K41" i="9" s="1"/>
  <c r="D43" i="9"/>
  <c r="C47" i="9"/>
  <c r="D47" i="9" s="1"/>
  <c r="C46" i="9"/>
  <c r="D46" i="9" s="1"/>
  <c r="C45" i="9"/>
  <c r="D45" i="9" s="1"/>
  <c r="C44" i="9"/>
  <c r="D44" i="9" s="1"/>
  <c r="C42" i="9"/>
  <c r="D42" i="9" s="1"/>
  <c r="C40" i="9"/>
  <c r="D40" i="9" s="1"/>
  <c r="P12" i="6"/>
  <c r="C7" i="9"/>
  <c r="C12" i="9"/>
  <c r="C3" i="9"/>
  <c r="D17" i="9"/>
  <c r="C2" i="9"/>
  <c r="C5" i="9" s="1"/>
  <c r="H12" i="9"/>
  <c r="N12" i="6"/>
  <c r="E8" i="7"/>
  <c r="K6" i="7"/>
  <c r="B19" i="5"/>
  <c r="K9" i="7"/>
  <c r="K7" i="7"/>
  <c r="E5" i="7"/>
  <c r="Q12" i="6"/>
  <c r="K39" i="9" l="1"/>
  <c r="HG13" i="11"/>
  <c r="HG3" i="11"/>
  <c r="HG7" i="11"/>
  <c r="HG12" i="11"/>
  <c r="HG16" i="11"/>
  <c r="HG8" i="11"/>
  <c r="HH13" i="11"/>
  <c r="HI12" i="11"/>
  <c r="HH3" i="11"/>
  <c r="HH9" i="11"/>
  <c r="HI8" i="11"/>
  <c r="HJ14" i="11"/>
  <c r="HB4" i="11"/>
  <c r="HG4" i="11" s="1"/>
  <c r="HH17" i="11"/>
  <c r="HI17" i="11"/>
  <c r="HI5" i="11"/>
  <c r="HJ11" i="11"/>
  <c r="HJ15" i="11"/>
  <c r="HH14" i="11"/>
  <c r="HI13" i="11"/>
  <c r="HJ7" i="11"/>
  <c r="HA6" i="11"/>
  <c r="HG6" i="11" s="1"/>
  <c r="HH6" i="11"/>
  <c r="HA10" i="11"/>
  <c r="HG10" i="11" s="1"/>
  <c r="HH10" i="11"/>
  <c r="HA15" i="11"/>
  <c r="HG15" i="11" s="1"/>
  <c r="HI9" i="11"/>
  <c r="HC17" i="11"/>
  <c r="HG17" i="11" s="1"/>
  <c r="HC9" i="11"/>
  <c r="HG9" i="11" s="1"/>
  <c r="HI16" i="11"/>
  <c r="HJ10" i="11"/>
  <c r="HJ6" i="11"/>
  <c r="HA11" i="11"/>
  <c r="HG11" i="11" s="1"/>
  <c r="HH16" i="11"/>
  <c r="HH12" i="11"/>
  <c r="HH8" i="11"/>
  <c r="HN8" i="11" s="1"/>
  <c r="HH4" i="11"/>
  <c r="HI15" i="11"/>
  <c r="HN15" i="11" s="1"/>
  <c r="HI11" i="11"/>
  <c r="HI7" i="11"/>
  <c r="HJ13" i="11"/>
  <c r="HJ5" i="11"/>
  <c r="HJ3" i="11"/>
  <c r="HB14" i="11"/>
  <c r="HG14" i="11" s="1"/>
  <c r="HH7" i="11"/>
  <c r="HI3" i="11"/>
  <c r="HI10" i="11"/>
  <c r="HI6" i="11"/>
  <c r="HJ16" i="11"/>
  <c r="HJ12" i="11"/>
  <c r="HJ8" i="11"/>
  <c r="HJ4" i="11"/>
  <c r="GY18" i="11"/>
  <c r="GZ18" i="11"/>
  <c r="FW17" i="11"/>
  <c r="FP17" i="11"/>
  <c r="FX16" i="11"/>
  <c r="FP16" i="11"/>
  <c r="FY15" i="11"/>
  <c r="FR15" i="11"/>
  <c r="FY14" i="11"/>
  <c r="FR14" i="11"/>
  <c r="FL14" i="11"/>
  <c r="FQ13" i="11"/>
  <c r="FV12" i="11"/>
  <c r="FZ11" i="11"/>
  <c r="FO11" i="11"/>
  <c r="FR10" i="11"/>
  <c r="FQ9" i="11"/>
  <c r="FP8" i="11"/>
  <c r="FO7" i="11"/>
  <c r="FN6" i="11"/>
  <c r="FM5" i="11"/>
  <c r="FL4" i="11"/>
  <c r="GW18" i="11"/>
  <c r="FU17" i="11"/>
  <c r="FO17" i="11"/>
  <c r="FV16" i="11"/>
  <c r="FO16" i="11"/>
  <c r="FW15" i="11"/>
  <c r="FO15" i="11"/>
  <c r="FX14" i="11"/>
  <c r="FQ14" i="11"/>
  <c r="FX13" i="11"/>
  <c r="FP13" i="11"/>
  <c r="FT12" i="11"/>
  <c r="FY11" i="11"/>
  <c r="FN11" i="11"/>
  <c r="FQ10" i="11"/>
  <c r="FP9" i="11"/>
  <c r="FO8" i="11"/>
  <c r="FN7" i="11"/>
  <c r="FM6" i="11"/>
  <c r="FL5" i="11"/>
  <c r="FZ3" i="11"/>
  <c r="FT17" i="11"/>
  <c r="FL17" i="11"/>
  <c r="FT16" i="11"/>
  <c r="FN16" i="11"/>
  <c r="FU15" i="11"/>
  <c r="FN15" i="11"/>
  <c r="FV14" i="11"/>
  <c r="FN14" i="11"/>
  <c r="FW13" i="11"/>
  <c r="FL13" i="11"/>
  <c r="FP12" i="11"/>
  <c r="FU11" i="11"/>
  <c r="FY10" i="11"/>
  <c r="FY9" i="11"/>
  <c r="FX8" i="11"/>
  <c r="FW7" i="11"/>
  <c r="FV6" i="11"/>
  <c r="FU5" i="11"/>
  <c r="FT4" i="11"/>
  <c r="FS3" i="11"/>
  <c r="GV18" i="11"/>
  <c r="FY17" i="11"/>
  <c r="FQ17" i="11"/>
  <c r="FZ16" i="11"/>
  <c r="FS16" i="11"/>
  <c r="FZ15" i="11"/>
  <c r="FS15" i="11"/>
  <c r="FM15" i="11"/>
  <c r="FT14" i="11"/>
  <c r="FM14" i="11"/>
  <c r="FU13" i="11"/>
  <c r="FZ12" i="11"/>
  <c r="FO12" i="11"/>
  <c r="FS11" i="11"/>
  <c r="FX10" i="11"/>
  <c r="FX9" i="11"/>
  <c r="FW8" i="11"/>
  <c r="FV7" i="11"/>
  <c r="FU6" i="11"/>
  <c r="FT5" i="11"/>
  <c r="FS4" i="11"/>
  <c r="FR3" i="11"/>
  <c r="ED17" i="11"/>
  <c r="DW17" i="11"/>
  <c r="ED16" i="11"/>
  <c r="DX16" i="11"/>
  <c r="EF15" i="11"/>
  <c r="DX15" i="11"/>
  <c r="EB14" i="11"/>
  <c r="EG13" i="11"/>
  <c r="DV13" i="11"/>
  <c r="DZ12" i="11"/>
  <c r="EE11" i="11"/>
  <c r="EI10" i="11"/>
  <c r="EI9" i="11"/>
  <c r="EH8" i="11"/>
  <c r="EG7" i="11"/>
  <c r="EE6" i="11"/>
  <c r="DZ5" i="11"/>
  <c r="EG3" i="11"/>
  <c r="EH17" i="11"/>
  <c r="DZ17" i="11"/>
  <c r="EH16" i="11"/>
  <c r="EB16" i="11"/>
  <c r="EI15" i="11"/>
  <c r="EB15" i="11"/>
  <c r="EH14" i="11"/>
  <c r="DW14" i="11"/>
  <c r="EA13" i="11"/>
  <c r="EF12" i="11"/>
  <c r="EJ11" i="11"/>
  <c r="DY11" i="11"/>
  <c r="EB10" i="11"/>
  <c r="EA9" i="11"/>
  <c r="DZ8" i="11"/>
  <c r="DY7" i="11"/>
  <c r="EI5" i="11"/>
  <c r="EC4" i="11"/>
  <c r="EE17" i="11"/>
  <c r="DY17" i="11"/>
  <c r="EG16" i="11"/>
  <c r="DY16" i="11"/>
  <c r="EG15" i="11"/>
  <c r="EA15" i="11"/>
  <c r="EF14" i="11"/>
  <c r="DV14" i="11"/>
  <c r="DZ13" i="11"/>
  <c r="EI11" i="11"/>
  <c r="DX11" i="11"/>
  <c r="EA10" i="11"/>
  <c r="DZ9" i="11"/>
  <c r="DY8" i="11"/>
  <c r="DX7" i="11"/>
  <c r="EH5" i="11"/>
  <c r="DZ4" i="11"/>
  <c r="EI17" i="11"/>
  <c r="EC17" i="11"/>
  <c r="EJ16" i="11"/>
  <c r="EC16" i="11"/>
  <c r="DV16" i="11"/>
  <c r="EC15" i="11"/>
  <c r="DW15" i="11"/>
  <c r="EA14" i="11"/>
  <c r="EE13" i="11"/>
  <c r="EJ12" i="11"/>
  <c r="DY12" i="11"/>
  <c r="EC11" i="11"/>
  <c r="EH10" i="11"/>
  <c r="EH9" i="11"/>
  <c r="EG8" i="11"/>
  <c r="EF7" i="11"/>
  <c r="EB6" i="11"/>
  <c r="DV5" i="11"/>
  <c r="DV3" i="11"/>
  <c r="EC3" i="11"/>
  <c r="DV4" i="11"/>
  <c r="ED4" i="11"/>
  <c r="DW5" i="11"/>
  <c r="EE5" i="11"/>
  <c r="DX6" i="11"/>
  <c r="EF6" i="11"/>
  <c r="DY3" i="11"/>
  <c r="EJ3" i="11"/>
  <c r="EG4" i="11"/>
  <c r="EA5" i="11"/>
  <c r="DW6" i="11"/>
  <c r="EI6" i="11"/>
  <c r="EB7" i="11"/>
  <c r="EJ7" i="11"/>
  <c r="EC8" i="11"/>
  <c r="DV9" i="11"/>
  <c r="ED9" i="11"/>
  <c r="DW10" i="11"/>
  <c r="EE10" i="11"/>
  <c r="EJ10" i="11"/>
  <c r="EA11" i="11"/>
  <c r="EF11" i="11"/>
  <c r="DV12" i="11"/>
  <c r="EB12" i="11"/>
  <c r="EG12" i="11"/>
  <c r="DW13" i="11"/>
  <c r="EC13" i="11"/>
  <c r="EH13" i="11"/>
  <c r="DX14" i="11"/>
  <c r="ED14" i="11"/>
  <c r="EI14" i="11"/>
  <c r="DY15" i="11"/>
  <c r="EE15" i="11"/>
  <c r="EJ15" i="11"/>
  <c r="DZ16" i="11"/>
  <c r="EF16" i="11"/>
  <c r="DV17" i="11"/>
  <c r="EA17" i="11"/>
  <c r="EG17" i="11"/>
  <c r="ED5" i="11"/>
  <c r="EJ6" i="11"/>
  <c r="EC7" i="11"/>
  <c r="DV8" i="11"/>
  <c r="ED8" i="11"/>
  <c r="DW9" i="11"/>
  <c r="EE9" i="11"/>
  <c r="DX10" i="11"/>
  <c r="EF10" i="11"/>
  <c r="DW11" i="11"/>
  <c r="EB11" i="11"/>
  <c r="DX12" i="11"/>
  <c r="EC12" i="11"/>
  <c r="EH12" i="11"/>
  <c r="DY13" i="11"/>
  <c r="ED13" i="11"/>
  <c r="EI13" i="11"/>
  <c r="DZ14" i="11"/>
  <c r="EE14" i="11"/>
  <c r="EJ14" i="11"/>
  <c r="EB3" i="11"/>
  <c r="DY4" i="11"/>
  <c r="EH4" i="11"/>
  <c r="EA6" i="11"/>
  <c r="EG11" i="11"/>
  <c r="ED12" i="11"/>
  <c r="FX17" i="11"/>
  <c r="FS17" i="11"/>
  <c r="FM17" i="11"/>
  <c r="FW16" i="11"/>
  <c r="FR16" i="11"/>
  <c r="FL16" i="11"/>
  <c r="FV15" i="11"/>
  <c r="FQ15" i="11"/>
  <c r="FZ14" i="11"/>
  <c r="FU14" i="11"/>
  <c r="FP14" i="11"/>
  <c r="FY13" i="11"/>
  <c r="FT13" i="11"/>
  <c r="FO13" i="11"/>
  <c r="FX12" i="11"/>
  <c r="FS12" i="11"/>
  <c r="FN12" i="11"/>
  <c r="FW11" i="11"/>
  <c r="FR11" i="11"/>
  <c r="FM11" i="11"/>
  <c r="FV10" i="11"/>
  <c r="FN10" i="11"/>
  <c r="FU9" i="11"/>
  <c r="FM9" i="11"/>
  <c r="FT8" i="11"/>
  <c r="FL8" i="11"/>
  <c r="FS7" i="11"/>
  <c r="FZ6" i="11"/>
  <c r="FR6" i="11"/>
  <c r="FY5" i="11"/>
  <c r="FQ5" i="11"/>
  <c r="FX4" i="11"/>
  <c r="FP4" i="11"/>
  <c r="FW3" i="11"/>
  <c r="FO3" i="11"/>
  <c r="FS13" i="11"/>
  <c r="FM13" i="11"/>
  <c r="FW12" i="11"/>
  <c r="FR12" i="11"/>
  <c r="FL12" i="11"/>
  <c r="FV11" i="11"/>
  <c r="FQ11" i="11"/>
  <c r="FZ10" i="11"/>
  <c r="FU10" i="11"/>
  <c r="FM10" i="11"/>
  <c r="FT9" i="11"/>
  <c r="FL9" i="11"/>
  <c r="FS8" i="11"/>
  <c r="FZ7" i="11"/>
  <c r="FR7" i="11"/>
  <c r="FY6" i="11"/>
  <c r="FQ6" i="11"/>
  <c r="FX5" i="11"/>
  <c r="FP5" i="11"/>
  <c r="FW4" i="11"/>
  <c r="FO4" i="11"/>
  <c r="FV3" i="11"/>
  <c r="FN3" i="11"/>
  <c r="GM17" i="11"/>
  <c r="GP16" i="11"/>
  <c r="GD16" i="11"/>
  <c r="GK15" i="11"/>
  <c r="GJ14" i="11"/>
  <c r="GM13" i="11"/>
  <c r="GP12" i="11"/>
  <c r="GH12" i="11"/>
  <c r="GG11" i="11"/>
  <c r="GJ10" i="11"/>
  <c r="GQ9" i="11"/>
  <c r="GI9" i="11"/>
  <c r="GL8" i="11"/>
  <c r="GH8" i="11"/>
  <c r="GO7" i="11"/>
  <c r="GR6" i="11"/>
  <c r="GJ6" i="11"/>
  <c r="GQ5" i="11"/>
  <c r="GI5" i="11"/>
  <c r="GP4" i="11"/>
  <c r="GH4" i="11"/>
  <c r="GG3" i="11"/>
  <c r="GP17" i="11"/>
  <c r="GL17" i="11"/>
  <c r="GH17" i="11"/>
  <c r="GD17" i="11"/>
  <c r="GO16" i="11"/>
  <c r="GK16" i="11"/>
  <c r="GG16" i="11"/>
  <c r="GR15" i="11"/>
  <c r="GN15" i="11"/>
  <c r="GJ15" i="11"/>
  <c r="GF15" i="11"/>
  <c r="GQ14" i="11"/>
  <c r="GM14" i="11"/>
  <c r="GI14" i="11"/>
  <c r="GE14" i="11"/>
  <c r="GP13" i="11"/>
  <c r="GL13" i="11"/>
  <c r="GH13" i="11"/>
  <c r="GD13" i="11"/>
  <c r="GO12" i="11"/>
  <c r="GK12" i="11"/>
  <c r="GG12" i="11"/>
  <c r="GR11" i="11"/>
  <c r="GN11" i="11"/>
  <c r="GJ11" i="11"/>
  <c r="GF11" i="11"/>
  <c r="GQ10" i="11"/>
  <c r="GM10" i="11"/>
  <c r="GI10" i="11"/>
  <c r="GE10" i="11"/>
  <c r="GP9" i="11"/>
  <c r="GL9" i="11"/>
  <c r="GH9" i="11"/>
  <c r="GD9" i="11"/>
  <c r="GO8" i="11"/>
  <c r="GK8" i="11"/>
  <c r="GG8" i="11"/>
  <c r="GR7" i="11"/>
  <c r="GN7" i="11"/>
  <c r="GJ7" i="11"/>
  <c r="GF7" i="11"/>
  <c r="GQ6" i="11"/>
  <c r="GM6" i="11"/>
  <c r="GI6" i="11"/>
  <c r="GE6" i="11"/>
  <c r="GP5" i="11"/>
  <c r="GL5" i="11"/>
  <c r="GH5" i="11"/>
  <c r="GD5" i="11"/>
  <c r="GO4" i="11"/>
  <c r="GK4" i="11"/>
  <c r="GG4" i="11"/>
  <c r="GR3" i="11"/>
  <c r="GN3" i="11"/>
  <c r="GJ3" i="11"/>
  <c r="GF3" i="11"/>
  <c r="GQ17" i="11"/>
  <c r="GE17" i="11"/>
  <c r="GH16" i="11"/>
  <c r="GG15" i="11"/>
  <c r="GN14" i="11"/>
  <c r="GQ13" i="11"/>
  <c r="GE13" i="11"/>
  <c r="GD12" i="11"/>
  <c r="GK11" i="11"/>
  <c r="GN10" i="11"/>
  <c r="GM9" i="11"/>
  <c r="GE9" i="11"/>
  <c r="GD8" i="11"/>
  <c r="GK7" i="11"/>
  <c r="GN6" i="11"/>
  <c r="GF6" i="11"/>
  <c r="GM5" i="11"/>
  <c r="GE5" i="11"/>
  <c r="GL4" i="11"/>
  <c r="GD4" i="11"/>
  <c r="GK3" i="11"/>
  <c r="GO17" i="11"/>
  <c r="GK17" i="11"/>
  <c r="GG17" i="11"/>
  <c r="GR16" i="11"/>
  <c r="GN16" i="11"/>
  <c r="GJ16" i="11"/>
  <c r="GF16" i="11"/>
  <c r="GQ15" i="11"/>
  <c r="GM15" i="11"/>
  <c r="GI15" i="11"/>
  <c r="GE15" i="11"/>
  <c r="GP14" i="11"/>
  <c r="GL14" i="11"/>
  <c r="GH14" i="11"/>
  <c r="GD14" i="11"/>
  <c r="GO13" i="11"/>
  <c r="GK13" i="11"/>
  <c r="GG13" i="11"/>
  <c r="GR12" i="11"/>
  <c r="GN12" i="11"/>
  <c r="GJ12" i="11"/>
  <c r="GF12" i="11"/>
  <c r="GQ11" i="11"/>
  <c r="GM11" i="11"/>
  <c r="GI11" i="11"/>
  <c r="GE11" i="11"/>
  <c r="GP10" i="11"/>
  <c r="GL10" i="11"/>
  <c r="GH10" i="11"/>
  <c r="GD10" i="11"/>
  <c r="GO9" i="11"/>
  <c r="GK9" i="11"/>
  <c r="GG9" i="11"/>
  <c r="GR8" i="11"/>
  <c r="GN8" i="11"/>
  <c r="GJ8" i="11"/>
  <c r="GF8" i="11"/>
  <c r="GQ7" i="11"/>
  <c r="GM7" i="11"/>
  <c r="GI7" i="11"/>
  <c r="GE7" i="11"/>
  <c r="GP6" i="11"/>
  <c r="GL6" i="11"/>
  <c r="GH6" i="11"/>
  <c r="GD6" i="11"/>
  <c r="GO5" i="11"/>
  <c r="GK5" i="11"/>
  <c r="GG5" i="11"/>
  <c r="GR4" i="11"/>
  <c r="GN4" i="11"/>
  <c r="GJ4" i="11"/>
  <c r="GF4" i="11"/>
  <c r="GQ3" i="11"/>
  <c r="GM3" i="11"/>
  <c r="GI3" i="11"/>
  <c r="GE3" i="11"/>
  <c r="GI17" i="11"/>
  <c r="GL16" i="11"/>
  <c r="GO15" i="11"/>
  <c r="GR14" i="11"/>
  <c r="GF14" i="11"/>
  <c r="GI13" i="11"/>
  <c r="GL12" i="11"/>
  <c r="GO11" i="11"/>
  <c r="GR10" i="11"/>
  <c r="GF10" i="11"/>
  <c r="GP8" i="11"/>
  <c r="GG7" i="11"/>
  <c r="GO3" i="11"/>
  <c r="GR17" i="11"/>
  <c r="GN17" i="11"/>
  <c r="GJ17" i="11"/>
  <c r="GF17" i="11"/>
  <c r="GQ16" i="11"/>
  <c r="GM16" i="11"/>
  <c r="GI16" i="11"/>
  <c r="GE16" i="11"/>
  <c r="GP15" i="11"/>
  <c r="GL15" i="11"/>
  <c r="GH15" i="11"/>
  <c r="GD15" i="11"/>
  <c r="GO14" i="11"/>
  <c r="GK14" i="11"/>
  <c r="GG14" i="11"/>
  <c r="GR13" i="11"/>
  <c r="GN13" i="11"/>
  <c r="GJ13" i="11"/>
  <c r="GF13" i="11"/>
  <c r="GQ12" i="11"/>
  <c r="GM12" i="11"/>
  <c r="GI12" i="11"/>
  <c r="GE12" i="11"/>
  <c r="GP11" i="11"/>
  <c r="GL11" i="11"/>
  <c r="GH11" i="11"/>
  <c r="GD11" i="11"/>
  <c r="GO10" i="11"/>
  <c r="GK10" i="11"/>
  <c r="GG10" i="11"/>
  <c r="GR9" i="11"/>
  <c r="GN9" i="11"/>
  <c r="GJ9" i="11"/>
  <c r="GF9" i="11"/>
  <c r="GQ8" i="11"/>
  <c r="GM8" i="11"/>
  <c r="GI8" i="11"/>
  <c r="GE8" i="11"/>
  <c r="GP7" i="11"/>
  <c r="GL7" i="11"/>
  <c r="GH7" i="11"/>
  <c r="GD7" i="11"/>
  <c r="GO6" i="11"/>
  <c r="GK6" i="11"/>
  <c r="GG6" i="11"/>
  <c r="GR5" i="11"/>
  <c r="GN5" i="11"/>
  <c r="GJ5" i="11"/>
  <c r="GF5" i="11"/>
  <c r="GQ4" i="11"/>
  <c r="GM4" i="11"/>
  <c r="GI4" i="11"/>
  <c r="GE4" i="11"/>
  <c r="GP3" i="11"/>
  <c r="GL3" i="11"/>
  <c r="GH3" i="11"/>
  <c r="FM3" i="11"/>
  <c r="FT10" i="11"/>
  <c r="FP10" i="11"/>
  <c r="FL10" i="11"/>
  <c r="FW9" i="11"/>
  <c r="FS9" i="11"/>
  <c r="FO9" i="11"/>
  <c r="FZ8" i="11"/>
  <c r="FV8" i="11"/>
  <c r="FR8" i="11"/>
  <c r="FN8" i="11"/>
  <c r="FY7" i="11"/>
  <c r="FU7" i="11"/>
  <c r="FQ7" i="11"/>
  <c r="FM7" i="11"/>
  <c r="FX6" i="11"/>
  <c r="FT6" i="11"/>
  <c r="FP6" i="11"/>
  <c r="FL6" i="11"/>
  <c r="FW5" i="11"/>
  <c r="FS5" i="11"/>
  <c r="FO5" i="11"/>
  <c r="FZ4" i="11"/>
  <c r="FV4" i="11"/>
  <c r="FR4" i="11"/>
  <c r="FN4" i="11"/>
  <c r="FY3" i="11"/>
  <c r="FU3" i="11"/>
  <c r="FQ3" i="11"/>
  <c r="FZ17" i="11"/>
  <c r="FV17" i="11"/>
  <c r="FR17" i="11"/>
  <c r="FN17" i="11"/>
  <c r="FY16" i="11"/>
  <c r="FU16" i="11"/>
  <c r="FQ16" i="11"/>
  <c r="FM16" i="11"/>
  <c r="FX15" i="11"/>
  <c r="FT15" i="11"/>
  <c r="FP15" i="11"/>
  <c r="FL15" i="11"/>
  <c r="FW14" i="11"/>
  <c r="FS14" i="11"/>
  <c r="FO14" i="11"/>
  <c r="FZ13" i="11"/>
  <c r="FV13" i="11"/>
  <c r="FR13" i="11"/>
  <c r="FN13" i="11"/>
  <c r="FY12" i="11"/>
  <c r="FU12" i="11"/>
  <c r="FQ12" i="11"/>
  <c r="FM12" i="11"/>
  <c r="FX11" i="11"/>
  <c r="FT11" i="11"/>
  <c r="FP11" i="11"/>
  <c r="FL11" i="11"/>
  <c r="FW10" i="11"/>
  <c r="FS10" i="11"/>
  <c r="FO10" i="11"/>
  <c r="FZ9" i="11"/>
  <c r="FV9" i="11"/>
  <c r="FR9" i="11"/>
  <c r="FN9" i="11"/>
  <c r="FY8" i="11"/>
  <c r="FU8" i="11"/>
  <c r="FQ8" i="11"/>
  <c r="FM8" i="11"/>
  <c r="FX7" i="11"/>
  <c r="FT7" i="11"/>
  <c r="FP7" i="11"/>
  <c r="FL7" i="11"/>
  <c r="FW6" i="11"/>
  <c r="FS6" i="11"/>
  <c r="FO6" i="11"/>
  <c r="FZ5" i="11"/>
  <c r="FV5" i="11"/>
  <c r="FR5" i="11"/>
  <c r="FN5" i="11"/>
  <c r="FY4" i="11"/>
  <c r="FU4" i="11"/>
  <c r="FQ4" i="11"/>
  <c r="FM4" i="11"/>
  <c r="FX3" i="11"/>
  <c r="FT3" i="11"/>
  <c r="FP3" i="11"/>
  <c r="DX3" i="11"/>
  <c r="EJ8" i="11"/>
  <c r="ED10" i="11"/>
  <c r="DZ10" i="11"/>
  <c r="DV10" i="11"/>
  <c r="EG9" i="11"/>
  <c r="EC9" i="11"/>
  <c r="DY9" i="11"/>
  <c r="EF8" i="11"/>
  <c r="EB8" i="11"/>
  <c r="DX8" i="11"/>
  <c r="EI7" i="11"/>
  <c r="EE7" i="11"/>
  <c r="EA7" i="11"/>
  <c r="DW7" i="11"/>
  <c r="EH6" i="11"/>
  <c r="ED6" i="11"/>
  <c r="DZ6" i="11"/>
  <c r="DV6" i="11"/>
  <c r="EG5" i="11"/>
  <c r="EC5" i="11"/>
  <c r="DY5" i="11"/>
  <c r="EJ4" i="11"/>
  <c r="EF4" i="11"/>
  <c r="EB4" i="11"/>
  <c r="DX4" i="11"/>
  <c r="EI3" i="11"/>
  <c r="EE3" i="11"/>
  <c r="EA3" i="11"/>
  <c r="DW3" i="11"/>
  <c r="EJ17" i="11"/>
  <c r="EF17" i="11"/>
  <c r="EB17" i="11"/>
  <c r="DX17" i="11"/>
  <c r="EI16" i="11"/>
  <c r="EE16" i="11"/>
  <c r="EA16" i="11"/>
  <c r="DW16" i="11"/>
  <c r="EH15" i="11"/>
  <c r="ED15" i="11"/>
  <c r="DZ15" i="11"/>
  <c r="DV15" i="11"/>
  <c r="EG14" i="11"/>
  <c r="EC14" i="11"/>
  <c r="DY14" i="11"/>
  <c r="EJ13" i="11"/>
  <c r="EF13" i="11"/>
  <c r="EB13" i="11"/>
  <c r="DX13" i="11"/>
  <c r="EI12" i="11"/>
  <c r="EE12" i="11"/>
  <c r="EA12" i="11"/>
  <c r="DW12" i="11"/>
  <c r="EH11" i="11"/>
  <c r="ED11" i="11"/>
  <c r="DZ11" i="11"/>
  <c r="DV11" i="11"/>
  <c r="EG10" i="11"/>
  <c r="EC10" i="11"/>
  <c r="DY10" i="11"/>
  <c r="EJ9" i="11"/>
  <c r="EF9" i="11"/>
  <c r="EB9" i="11"/>
  <c r="DX9" i="11"/>
  <c r="EI8" i="11"/>
  <c r="EE8" i="11"/>
  <c r="EA8" i="11"/>
  <c r="DW8" i="11"/>
  <c r="EH7" i="11"/>
  <c r="ED7" i="11"/>
  <c r="DZ7" i="11"/>
  <c r="DV7" i="11"/>
  <c r="EG6" i="11"/>
  <c r="EC6" i="11"/>
  <c r="DY6" i="11"/>
  <c r="EJ5" i="11"/>
  <c r="EF5" i="11"/>
  <c r="EB5" i="11"/>
  <c r="DX5" i="11"/>
  <c r="EI4" i="11"/>
  <c r="EE4" i="11"/>
  <c r="EA4" i="11"/>
  <c r="DW4" i="11"/>
  <c r="EH3" i="11"/>
  <c r="ED3" i="11"/>
  <c r="DZ3" i="11"/>
  <c r="D38" i="9"/>
  <c r="F38" i="9" s="1"/>
  <c r="E39" i="9"/>
  <c r="E41" i="9"/>
  <c r="D41" i="9"/>
  <c r="Q9" i="6"/>
  <c r="Q10" i="6"/>
  <c r="Q11" i="6"/>
  <c r="Q8" i="6"/>
  <c r="W40" i="9"/>
  <c r="Z40" i="9" s="1"/>
  <c r="W42" i="9"/>
  <c r="Z42" i="9" s="1"/>
  <c r="W43" i="9"/>
  <c r="Z43" i="9" s="1"/>
  <c r="W44" i="9"/>
  <c r="Z44" i="9" s="1"/>
  <c r="W45" i="9"/>
  <c r="Z45" i="9" s="1"/>
  <c r="W46" i="9"/>
  <c r="Z46" i="9" s="1"/>
  <c r="W47" i="9"/>
  <c r="Z47" i="9" s="1"/>
  <c r="HN7" i="11" l="1"/>
  <c r="HN4" i="11"/>
  <c r="HN10" i="11"/>
  <c r="HN3" i="11"/>
  <c r="HN11" i="11"/>
  <c r="HN12" i="11"/>
  <c r="HN6" i="11"/>
  <c r="HN14" i="11"/>
  <c r="HN13" i="11"/>
  <c r="HN16" i="11"/>
  <c r="HN17" i="11"/>
  <c r="HN9" i="11"/>
  <c r="HC18" i="11"/>
  <c r="HB18" i="11"/>
  <c r="HI18" i="11"/>
  <c r="HJ18" i="11"/>
  <c r="FP19" i="11"/>
  <c r="GH19" i="11"/>
  <c r="EU3" i="11" a="1"/>
  <c r="F39" i="9"/>
  <c r="M39" i="9" s="1"/>
  <c r="I38" i="9"/>
  <c r="J38" i="9"/>
  <c r="M38" i="9"/>
  <c r="F41" i="9"/>
  <c r="M41" i="9" s="1"/>
  <c r="O41" i="9" s="1"/>
  <c r="N41" i="9" s="1"/>
  <c r="AB41" i="9" s="1"/>
  <c r="AC41" i="9" s="1"/>
  <c r="I39" i="9"/>
  <c r="I11" i="6"/>
  <c r="N11" i="6" s="1"/>
  <c r="P11" i="6" s="1"/>
  <c r="E28" i="9"/>
  <c r="J41" i="9" l="1"/>
  <c r="EU3" i="11"/>
  <c r="EZ3" i="11"/>
  <c r="FE3" i="11"/>
  <c r="EU4" i="11"/>
  <c r="FA4" i="11"/>
  <c r="FF4" i="11"/>
  <c r="EV5" i="11"/>
  <c r="FB5" i="11"/>
  <c r="FG5" i="11"/>
  <c r="EW6" i="11"/>
  <c r="FC6" i="11"/>
  <c r="FH6" i="11"/>
  <c r="EX7" i="11"/>
  <c r="FD7" i="11"/>
  <c r="FI7" i="11"/>
  <c r="EY8" i="11"/>
  <c r="FE8" i="11"/>
  <c r="EU9" i="11"/>
  <c r="EZ9" i="11"/>
  <c r="FF9" i="11"/>
  <c r="EV10" i="11"/>
  <c r="FA10" i="11"/>
  <c r="FG10" i="11"/>
  <c r="EW11" i="11"/>
  <c r="FB11" i="11"/>
  <c r="FH11" i="11"/>
  <c r="EX12" i="11"/>
  <c r="FC12" i="11"/>
  <c r="FI12" i="11"/>
  <c r="EY13" i="11"/>
  <c r="FD13" i="11"/>
  <c r="EU14" i="11"/>
  <c r="EZ14" i="11"/>
  <c r="FE14" i="11"/>
  <c r="EV15" i="11"/>
  <c r="FA15" i="11"/>
  <c r="FF15" i="11"/>
  <c r="EW16" i="11"/>
  <c r="FB16" i="11"/>
  <c r="FG16" i="11"/>
  <c r="EX17" i="11"/>
  <c r="FC17" i="11"/>
  <c r="FH17" i="11"/>
  <c r="FA3" i="11"/>
  <c r="FH3" i="11"/>
  <c r="EY4" i="11"/>
  <c r="FG4" i="11"/>
  <c r="EY5" i="11"/>
  <c r="FF5" i="11"/>
  <c r="EY6" i="11"/>
  <c r="FE6" i="11"/>
  <c r="EW7" i="11"/>
  <c r="FE7" i="11"/>
  <c r="EW8" i="11"/>
  <c r="FC8" i="11"/>
  <c r="EV9" i="11"/>
  <c r="FC9" i="11"/>
  <c r="EU10" i="11"/>
  <c r="FC10" i="11"/>
  <c r="FI10" i="11"/>
  <c r="FA11" i="11"/>
  <c r="FI11" i="11"/>
  <c r="FA12" i="11"/>
  <c r="FG12" i="11"/>
  <c r="EZ13" i="11"/>
  <c r="FG13" i="11"/>
  <c r="EY14" i="11"/>
  <c r="FG14" i="11"/>
  <c r="EX15" i="11"/>
  <c r="FE15" i="11"/>
  <c r="EX16" i="11"/>
  <c r="FE16" i="11"/>
  <c r="EV17" i="11"/>
  <c r="FD17" i="11"/>
  <c r="FB3" i="11"/>
  <c r="FI3" i="11"/>
  <c r="FB4" i="11"/>
  <c r="FI4" i="11"/>
  <c r="EZ5" i="11"/>
  <c r="FH5" i="11"/>
  <c r="EZ6" i="11"/>
  <c r="FG6" i="11"/>
  <c r="EZ7" i="11"/>
  <c r="FF7" i="11"/>
  <c r="EX8" i="11"/>
  <c r="FF8" i="11"/>
  <c r="EX9" i="11"/>
  <c r="FD9" i="11"/>
  <c r="EW10" i="11"/>
  <c r="FD10" i="11"/>
  <c r="EV11" i="11"/>
  <c r="FD11" i="11"/>
  <c r="EU12" i="11"/>
  <c r="FB12" i="11"/>
  <c r="EU13" i="11"/>
  <c r="FB13" i="11"/>
  <c r="FH13" i="11"/>
  <c r="FA14" i="11"/>
  <c r="FH14" i="11"/>
  <c r="EZ15" i="11"/>
  <c r="FH15" i="11"/>
  <c r="EY16" i="11"/>
  <c r="FF16" i="11"/>
  <c r="EY17" i="11"/>
  <c r="FF17" i="11"/>
  <c r="FD3" i="11"/>
  <c r="EY10" i="11"/>
  <c r="FF3" i="11"/>
  <c r="FE4" i="11"/>
  <c r="FD5" i="11"/>
  <c r="FD6" i="11"/>
  <c r="FB7" i="11"/>
  <c r="FB8" i="11"/>
  <c r="FB9" i="11"/>
  <c r="EZ10" i="11"/>
  <c r="EZ11" i="11"/>
  <c r="EY12" i="11"/>
  <c r="EX13" i="11"/>
  <c r="EW14" i="11"/>
  <c r="EW15" i="11"/>
  <c r="EU16" i="11"/>
  <c r="EU17" i="11"/>
  <c r="EW4" i="11"/>
  <c r="EU5" i="11"/>
  <c r="EU6" i="11"/>
  <c r="FI6" i="11"/>
  <c r="FH7" i="11"/>
  <c r="FG8" i="11"/>
  <c r="FG9" i="11"/>
  <c r="FE10" i="11"/>
  <c r="FE11" i="11"/>
  <c r="FE12" i="11"/>
  <c r="FC13" i="11"/>
  <c r="FC14" i="11"/>
  <c r="FB15" i="11"/>
  <c r="FA16" i="11"/>
  <c r="EZ17" i="11"/>
  <c r="FC4" i="11"/>
  <c r="FC5" i="11"/>
  <c r="FA6" i="11"/>
  <c r="FA7" i="11"/>
  <c r="FA8" i="11"/>
  <c r="EY9" i="11"/>
  <c r="EX11" i="11"/>
  <c r="EW12" i="11"/>
  <c r="EV13" i="11"/>
  <c r="EV14" i="11"/>
  <c r="FI14" i="11"/>
  <c r="FI15" i="11"/>
  <c r="FI16" i="11"/>
  <c r="FG17" i="11"/>
  <c r="EX3" i="11"/>
  <c r="EX4" i="11"/>
  <c r="EX5" i="11"/>
  <c r="EV6" i="11"/>
  <c r="EV7" i="11"/>
  <c r="EU8" i="11"/>
  <c r="FI8" i="11"/>
  <c r="FH9" i="11"/>
  <c r="FH10" i="11"/>
  <c r="FF11" i="11"/>
  <c r="FF12" i="11"/>
  <c r="FF13" i="11"/>
  <c r="FD14" i="11"/>
  <c r="FD15" i="11"/>
  <c r="FC16" i="11"/>
  <c r="FB17" i="11"/>
  <c r="EV3" i="11"/>
  <c r="EW17" i="11"/>
  <c r="EV16" i="11"/>
  <c r="EU15" i="11"/>
  <c r="FI13" i="11"/>
  <c r="FH12" i="11"/>
  <c r="FG11" i="11"/>
  <c r="FF10" i="11"/>
  <c r="FE9" i="11"/>
  <c r="FD8" i="11"/>
  <c r="FC7" i="11"/>
  <c r="FB6" i="11"/>
  <c r="FA5" i="11"/>
  <c r="EZ4" i="11"/>
  <c r="EY3" i="11"/>
  <c r="EZ16" i="11"/>
  <c r="EV12" i="11"/>
  <c r="FG7" i="11"/>
  <c r="FD4" i="11"/>
  <c r="FI17" i="11"/>
  <c r="FH16" i="11"/>
  <c r="FG15" i="11"/>
  <c r="FF14" i="11"/>
  <c r="FE13" i="11"/>
  <c r="FD12" i="11"/>
  <c r="FC11" i="11"/>
  <c r="FB10" i="11"/>
  <c r="FA9" i="11"/>
  <c r="EZ8" i="11"/>
  <c r="EY7" i="11"/>
  <c r="EX6" i="11"/>
  <c r="EW5" i="11"/>
  <c r="EV4" i="11"/>
  <c r="EW3" i="11"/>
  <c r="FI9" i="11"/>
  <c r="FE5" i="11"/>
  <c r="FE17" i="11"/>
  <c r="FD16" i="11"/>
  <c r="FC15" i="11"/>
  <c r="FB14" i="11"/>
  <c r="FA13" i="11"/>
  <c r="EZ12" i="11"/>
  <c r="EY11" i="11"/>
  <c r="EX10" i="11"/>
  <c r="EW9" i="11"/>
  <c r="EV8" i="11"/>
  <c r="EU7" i="11"/>
  <c r="FI5" i="11"/>
  <c r="FH4" i="11"/>
  <c r="FG3" i="11"/>
  <c r="FA17" i="11"/>
  <c r="EX14" i="11"/>
  <c r="EU11" i="11"/>
  <c r="FF6" i="11"/>
  <c r="EY15" i="11"/>
  <c r="EW13" i="11"/>
  <c r="FH8" i="11"/>
  <c r="FC3" i="11"/>
  <c r="O38" i="9"/>
  <c r="N38" i="9" s="1"/>
  <c r="O39" i="9"/>
  <c r="N39" i="9" s="1"/>
  <c r="J39" i="9"/>
  <c r="P41" i="9"/>
  <c r="Q41" i="9" s="1"/>
  <c r="X41" i="9" s="1"/>
  <c r="Y41" i="9" s="1"/>
  <c r="K17" i="9"/>
  <c r="B5" i="10"/>
  <c r="S40" i="9"/>
  <c r="S42" i="9"/>
  <c r="S43" i="9"/>
  <c r="S44" i="9"/>
  <c r="S45" i="9"/>
  <c r="S46" i="9"/>
  <c r="S47" i="9"/>
  <c r="D28" i="9"/>
  <c r="P38" i="9" l="1"/>
  <c r="Q38" i="9" s="1"/>
  <c r="AB38" i="9"/>
  <c r="AC38" i="9" s="1"/>
  <c r="P39" i="9"/>
  <c r="Q39" i="9" s="1"/>
  <c r="AB39" i="9"/>
  <c r="AC39" i="9" s="1"/>
  <c r="GU5" i="11"/>
  <c r="EY19" i="11"/>
  <c r="AA41" i="9"/>
  <c r="AD41" i="9" s="1"/>
  <c r="E40" i="9"/>
  <c r="F40" i="9" s="1"/>
  <c r="M40" i="9" s="1"/>
  <c r="O40" i="9" s="1"/>
  <c r="E45" i="9"/>
  <c r="F45" i="9" s="1"/>
  <c r="E42" i="9"/>
  <c r="E46" i="9"/>
  <c r="F46" i="9" s="1"/>
  <c r="E43" i="9"/>
  <c r="F43" i="9" s="1"/>
  <c r="E47" i="9"/>
  <c r="F47" i="9" s="1"/>
  <c r="E44" i="9"/>
  <c r="F44" i="9" s="1"/>
  <c r="E3" i="7"/>
  <c r="H5" i="10"/>
  <c r="L5" i="10" s="1"/>
  <c r="F4" i="10"/>
  <c r="H4" i="10" s="1"/>
  <c r="L4" i="10" s="1"/>
  <c r="F5" i="10"/>
  <c r="F3" i="10"/>
  <c r="H3" i="10" s="1"/>
  <c r="L3" i="10" s="1"/>
  <c r="B4" i="10"/>
  <c r="B3" i="10"/>
  <c r="V40" i="9"/>
  <c r="V42" i="9"/>
  <c r="V43" i="9"/>
  <c r="V44" i="9"/>
  <c r="V45" i="9"/>
  <c r="V46" i="9"/>
  <c r="V47" i="9"/>
  <c r="U40" i="9"/>
  <c r="U42" i="9"/>
  <c r="U43" i="9"/>
  <c r="U44" i="9"/>
  <c r="U45" i="9"/>
  <c r="U46" i="9"/>
  <c r="U47" i="9"/>
  <c r="T40" i="9"/>
  <c r="T42" i="9"/>
  <c r="T43" i="9"/>
  <c r="T44" i="9"/>
  <c r="T45" i="9"/>
  <c r="T46" i="9"/>
  <c r="T47" i="9"/>
  <c r="K47" i="9"/>
  <c r="K40" i="9"/>
  <c r="K42" i="9"/>
  <c r="K43" i="9"/>
  <c r="K44" i="9"/>
  <c r="K45" i="9"/>
  <c r="K46" i="9"/>
  <c r="K31" i="9"/>
  <c r="K30" i="9"/>
  <c r="E29" i="9"/>
  <c r="E30" i="9"/>
  <c r="E31" i="9"/>
  <c r="E32" i="9"/>
  <c r="E33" i="9"/>
  <c r="E34" i="9"/>
  <c r="D29" i="9"/>
  <c r="D30" i="9"/>
  <c r="D31" i="9"/>
  <c r="D32" i="9"/>
  <c r="D33" i="9"/>
  <c r="D34" i="9"/>
  <c r="K34" i="9"/>
  <c r="K33" i="9"/>
  <c r="K32" i="9"/>
  <c r="K29" i="9"/>
  <c r="K28" i="9"/>
  <c r="K18" i="9"/>
  <c r="K19" i="9"/>
  <c r="K20" i="9"/>
  <c r="K21" i="9"/>
  <c r="K22" i="9"/>
  <c r="K23" i="9"/>
  <c r="K24" i="9"/>
  <c r="X39" i="9" l="1"/>
  <c r="Y39" i="9" s="1"/>
  <c r="AA39" i="9"/>
  <c r="AA38" i="9"/>
  <c r="X38" i="9"/>
  <c r="Y38" i="9" s="1"/>
  <c r="GX5" i="11"/>
  <c r="HH5" i="11" s="1"/>
  <c r="HN5" i="11" s="1"/>
  <c r="GU18" i="11"/>
  <c r="F32" i="9"/>
  <c r="J32" i="9" s="1"/>
  <c r="J44" i="9"/>
  <c r="M44" i="9"/>
  <c r="J46" i="9"/>
  <c r="M46" i="9"/>
  <c r="J47" i="9"/>
  <c r="M47" i="9"/>
  <c r="J45" i="9"/>
  <c r="M45" i="9"/>
  <c r="M43" i="9"/>
  <c r="J43" i="9"/>
  <c r="J5" i="10"/>
  <c r="J4" i="10"/>
  <c r="J3" i="10"/>
  <c r="F42" i="9"/>
  <c r="F31" i="9"/>
  <c r="J31" i="9" s="1"/>
  <c r="J40" i="9"/>
  <c r="F30" i="9"/>
  <c r="J30" i="9" s="1"/>
  <c r="F28" i="9"/>
  <c r="F34" i="9"/>
  <c r="M34" i="9" s="1"/>
  <c r="N34" i="9" s="1"/>
  <c r="F29" i="9"/>
  <c r="M29" i="9" s="1"/>
  <c r="F33" i="9"/>
  <c r="J33" i="9" s="1"/>
  <c r="E24" i="9"/>
  <c r="D24" i="9"/>
  <c r="D18" i="9"/>
  <c r="D19" i="9"/>
  <c r="D20" i="9"/>
  <c r="D21" i="9"/>
  <c r="D22" i="9"/>
  <c r="D23" i="9"/>
  <c r="E18" i="9"/>
  <c r="E19" i="9"/>
  <c r="E20" i="9"/>
  <c r="E21" i="9"/>
  <c r="E22" i="9"/>
  <c r="E23" i="9"/>
  <c r="E17" i="9"/>
  <c r="C6" i="9"/>
  <c r="AD39" i="9" l="1"/>
  <c r="AD38" i="9"/>
  <c r="HN18" i="11"/>
  <c r="HH18" i="11"/>
  <c r="GX18" i="11"/>
  <c r="HA5" i="11"/>
  <c r="HG5" i="11" s="1"/>
  <c r="N40" i="9"/>
  <c r="O47" i="9"/>
  <c r="N47" i="9" s="1"/>
  <c r="AB47" i="9" s="1"/>
  <c r="AC47" i="9" s="1"/>
  <c r="O45" i="9"/>
  <c r="N45" i="9" s="1"/>
  <c r="O46" i="9"/>
  <c r="N46" i="9" s="1"/>
  <c r="O44" i="9"/>
  <c r="N44" i="9" s="1"/>
  <c r="O43" i="9"/>
  <c r="N43" i="9" s="1"/>
  <c r="M42" i="9"/>
  <c r="J42" i="9"/>
  <c r="M31" i="9"/>
  <c r="N31" i="9" s="1"/>
  <c r="I30" i="9"/>
  <c r="M33" i="9"/>
  <c r="N33" i="9" s="1"/>
  <c r="I28" i="9"/>
  <c r="M28" i="9"/>
  <c r="N28" i="9" s="1"/>
  <c r="M30" i="9"/>
  <c r="N30" i="9" s="1"/>
  <c r="J28" i="9"/>
  <c r="J34" i="9"/>
  <c r="M32" i="9"/>
  <c r="N32" i="9" s="1"/>
  <c r="F20" i="9"/>
  <c r="M20" i="9" s="1"/>
  <c r="N20" i="9" s="1"/>
  <c r="I29" i="9"/>
  <c r="F19" i="9"/>
  <c r="J29" i="9"/>
  <c r="F24" i="9"/>
  <c r="J24" i="9" s="1"/>
  <c r="F18" i="9"/>
  <c r="F22" i="9"/>
  <c r="M22" i="9" s="1"/>
  <c r="N22" i="9" s="1"/>
  <c r="F21" i="9"/>
  <c r="M21" i="9" s="1"/>
  <c r="N21" i="9" s="1"/>
  <c r="F17" i="9"/>
  <c r="F23" i="9"/>
  <c r="HA18" i="11" l="1"/>
  <c r="HG18" i="11" s="1"/>
  <c r="P47" i="9"/>
  <c r="Q47" i="9" s="1"/>
  <c r="X47" i="9" s="1"/>
  <c r="Y47" i="9" s="1"/>
  <c r="AB40" i="9"/>
  <c r="AC40" i="9" s="1"/>
  <c r="P40" i="9"/>
  <c r="Q40" i="9" s="1"/>
  <c r="O42" i="9"/>
  <c r="N42" i="9" s="1"/>
  <c r="M17" i="9"/>
  <c r="N17" i="9" s="1"/>
  <c r="J17" i="9"/>
  <c r="AB46" i="9"/>
  <c r="AC46" i="9" s="1"/>
  <c r="P46" i="9"/>
  <c r="Q46" i="9" s="1"/>
  <c r="AB43" i="9"/>
  <c r="AC43" i="9" s="1"/>
  <c r="P43" i="9"/>
  <c r="Q43" i="9" s="1"/>
  <c r="AB44" i="9"/>
  <c r="AC44" i="9" s="1"/>
  <c r="P44" i="9"/>
  <c r="Q44" i="9" s="1"/>
  <c r="AA44" i="9" s="1"/>
  <c r="AB45" i="9"/>
  <c r="AC45" i="9" s="1"/>
  <c r="P45" i="9"/>
  <c r="Q45" i="9" s="1"/>
  <c r="J20" i="9"/>
  <c r="J19" i="9"/>
  <c r="M19" i="9"/>
  <c r="N19" i="9" s="1"/>
  <c r="I17" i="9"/>
  <c r="M18" i="9"/>
  <c r="N18" i="9" s="1"/>
  <c r="I18" i="9"/>
  <c r="M23" i="9"/>
  <c r="N23" i="9" s="1"/>
  <c r="I23" i="9"/>
  <c r="I24" i="9"/>
  <c r="M24" i="9"/>
  <c r="N24" i="9" s="1"/>
  <c r="J22" i="9"/>
  <c r="J23" i="9"/>
  <c r="J21" i="9"/>
  <c r="J18" i="9"/>
  <c r="X40" i="9" l="1"/>
  <c r="Y40" i="9" s="1"/>
  <c r="AA40" i="9"/>
  <c r="AA47" i="9"/>
  <c r="AD47" i="9" s="1"/>
  <c r="X44" i="9"/>
  <c r="Y44" i="9" s="1"/>
  <c r="AD44" i="9" s="1"/>
  <c r="X46" i="9"/>
  <c r="Y46" i="9" s="1"/>
  <c r="AA46" i="9"/>
  <c r="AB42" i="9"/>
  <c r="AC42" i="9" s="1"/>
  <c r="P42" i="9"/>
  <c r="Q42" i="9" s="1"/>
  <c r="AA43" i="9"/>
  <c r="X43" i="9"/>
  <c r="Y43" i="9" s="1"/>
  <c r="X45" i="9"/>
  <c r="Y45" i="9" s="1"/>
  <c r="AA45" i="9"/>
  <c r="AD40" i="9" l="1"/>
  <c r="AD43" i="9"/>
  <c r="AD45" i="9"/>
  <c r="AD46" i="9"/>
  <c r="AA42" i="9"/>
  <c r="X42" i="9"/>
  <c r="Y42" i="9" s="1"/>
  <c r="AD42" i="9" l="1"/>
  <c r="F1" i="7"/>
  <c r="E4" i="7" s="1"/>
  <c r="F5" i="7" s="1"/>
  <c r="E13" i="7" s="1"/>
  <c r="B13" i="7"/>
  <c r="M31" i="6"/>
  <c r="M30" i="6"/>
  <c r="I31" i="6"/>
  <c r="L31" i="6" s="1"/>
  <c r="I9" i="6"/>
  <c r="N9" i="6" s="1"/>
  <c r="P9" i="6" s="1"/>
  <c r="I10" i="6"/>
  <c r="N10" i="6" s="1"/>
  <c r="P10" i="6" s="1"/>
  <c r="K11" i="6"/>
  <c r="I4" i="6"/>
  <c r="I8" i="6" s="1"/>
  <c r="I3" i="6"/>
  <c r="I7" i="6" s="1"/>
  <c r="K7" i="6" l="1"/>
  <c r="I27" i="6" s="1"/>
  <c r="N7" i="6"/>
  <c r="K9" i="6"/>
  <c r="I29" i="6" s="1"/>
  <c r="K10" i="6"/>
  <c r="I30" i="6" s="1"/>
  <c r="O31" i="6"/>
  <c r="K8" i="6"/>
  <c r="I28" i="6" s="1"/>
  <c r="N8" i="6"/>
  <c r="P8" i="6" s="1"/>
  <c r="E7" i="7"/>
  <c r="F4" i="7"/>
  <c r="B14" i="7"/>
  <c r="N28" i="6" l="1"/>
  <c r="K28" i="6"/>
  <c r="P7" i="6"/>
  <c r="F8" i="7"/>
  <c r="F13" i="7" s="1"/>
  <c r="G13" i="7" s="1"/>
  <c r="O30" i="6"/>
  <c r="K30" i="6"/>
  <c r="N30" i="6"/>
  <c r="L30" i="6"/>
  <c r="L29" i="6"/>
  <c r="N29" i="6"/>
  <c r="K29" i="6"/>
  <c r="O29" i="6"/>
  <c r="O27" i="6"/>
  <c r="O32" i="6" s="1"/>
  <c r="N27" i="6"/>
  <c r="N32" i="6" s="1"/>
  <c r="K36" i="6" s="1"/>
  <c r="L27" i="6"/>
  <c r="K27" i="6"/>
  <c r="F7" i="7"/>
  <c r="E14" i="7"/>
  <c r="E15" i="7"/>
  <c r="E16" i="7"/>
  <c r="E24" i="7"/>
  <c r="E32" i="7"/>
  <c r="E22" i="7"/>
  <c r="E17" i="7"/>
  <c r="E25" i="7"/>
  <c r="E33" i="7"/>
  <c r="E30" i="7"/>
  <c r="E31" i="7"/>
  <c r="E18" i="7"/>
  <c r="E26" i="7"/>
  <c r="E34" i="7"/>
  <c r="E23" i="7"/>
  <c r="E19" i="7"/>
  <c r="E27" i="7"/>
  <c r="E35" i="7"/>
  <c r="E20" i="7"/>
  <c r="E28" i="7"/>
  <c r="E36" i="7"/>
  <c r="E21" i="7"/>
  <c r="E29" i="7"/>
  <c r="B15" i="7"/>
  <c r="B16" i="7" s="1"/>
  <c r="K32" i="6" l="1"/>
  <c r="K35" i="6" s="1"/>
  <c r="L32" i="6"/>
  <c r="F16" i="7"/>
  <c r="F33" i="7"/>
  <c r="F17" i="7"/>
  <c r="F34" i="7"/>
  <c r="F18" i="7"/>
  <c r="F35" i="7"/>
  <c r="F19" i="7"/>
  <c r="F36" i="7"/>
  <c r="F29" i="7"/>
  <c r="F32" i="7"/>
  <c r="F30" i="7"/>
  <c r="F14" i="7"/>
  <c r="G14" i="7" s="1"/>
  <c r="F31" i="7"/>
  <c r="F15" i="7"/>
  <c r="C15" i="7"/>
  <c r="B17" i="7"/>
  <c r="C16" i="7"/>
  <c r="G15" i="7" l="1"/>
  <c r="G16" i="7" s="1"/>
  <c r="G17" i="7" s="1"/>
  <c r="G18" i="7" s="1"/>
  <c r="G19" i="7" s="1"/>
  <c r="B18" i="7"/>
  <c r="C17" i="7"/>
  <c r="G20" i="7" l="1"/>
  <c r="G21" i="7" s="1"/>
  <c r="G22" i="7" s="1"/>
  <c r="G23" i="7" s="1"/>
  <c r="G24" i="7" s="1"/>
  <c r="G25" i="7" s="1"/>
  <c r="G26" i="7" s="1"/>
  <c r="G27" i="7" s="1"/>
  <c r="G28" i="7" s="1"/>
  <c r="G29" i="7" s="1"/>
  <c r="G30" i="7" s="1"/>
  <c r="G31" i="7" s="1"/>
  <c r="G32" i="7" s="1"/>
  <c r="G33" i="7" s="1"/>
  <c r="G34" i="7" s="1"/>
  <c r="G35" i="7" s="1"/>
  <c r="G36" i="7" s="1"/>
  <c r="B19" i="7"/>
  <c r="C18" i="7"/>
  <c r="K5" i="7" l="1"/>
  <c r="K8" i="7" s="1"/>
  <c r="K14" i="7" s="1"/>
  <c r="K15" i="7" s="1"/>
  <c r="B20" i="7"/>
  <c r="C19" i="7"/>
  <c r="B21" i="7" l="1"/>
  <c r="C20" i="7"/>
  <c r="B22" i="7" l="1"/>
  <c r="C21" i="7"/>
  <c r="B23" i="7" l="1"/>
  <c r="C22" i="7"/>
  <c r="B24" i="7" l="1"/>
  <c r="C23" i="7"/>
  <c r="B25" i="7" l="1"/>
  <c r="C24" i="7"/>
  <c r="B26" i="7" l="1"/>
  <c r="C25" i="7"/>
  <c r="B27" i="7" l="1"/>
  <c r="C26" i="7"/>
  <c r="B28" i="7" l="1"/>
  <c r="C27" i="7"/>
  <c r="B29" i="7" l="1"/>
  <c r="C28" i="7"/>
  <c r="B30" i="7" l="1"/>
  <c r="C29" i="7"/>
  <c r="B31" i="7" l="1"/>
  <c r="C30" i="7"/>
  <c r="B32" i="7" l="1"/>
  <c r="C31" i="7"/>
  <c r="B33" i="7" l="1"/>
  <c r="C32" i="7"/>
  <c r="B34" i="7" l="1"/>
  <c r="C33" i="7"/>
  <c r="B35" i="7" l="1"/>
  <c r="C34" i="7"/>
  <c r="B36" i="7" l="1"/>
  <c r="C36" i="7" s="1"/>
  <c r="C35" i="7"/>
</calcChain>
</file>

<file path=xl/sharedStrings.xml><?xml version="1.0" encoding="utf-8"?>
<sst xmlns="http://schemas.openxmlformats.org/spreadsheetml/2006/main" count="871" uniqueCount="352">
  <si>
    <t>Σημερινός πληθυσμός οικισμου (Κ)</t>
  </si>
  <si>
    <t>Ετήσια ποσοστιαία αυξηση πληθυσμού (Λ) [%]</t>
  </si>
  <si>
    <t>Μήκος αγωγού ΓΔ [m]</t>
  </si>
  <si>
    <t>Μηκος αγωγού ΠΔ [m]</t>
  </si>
  <si>
    <t>Μηκος αγωγού ΔΟ [m]</t>
  </si>
  <si>
    <t>Ωρες λειτουργίας αντλίας γεώτρησης κάθε μέρα (H)</t>
  </si>
  <si>
    <t>ΟΜΑΔΑ 15</t>
  </si>
  <si>
    <t>Παροχή πηγής οικισμού (Qπ) [m^3/day]</t>
  </si>
  <si>
    <t>Σημερινός πληθυσμός Παραθεριστών (Π)</t>
  </si>
  <si>
    <t>Ξ1 - Αριθμός υφιστάμενων ξενοδοχείων</t>
  </si>
  <si>
    <t>Κλ1 - Αριθμός κλινών έκαστου ξενοδοχείου Ξ1</t>
  </si>
  <si>
    <t>Ξ2 - Αριθμός μελλοντικών ξενοδοχείων</t>
  </si>
  <si>
    <t>Κλ2 - Αριθμός κλινών έκαστου μελλοντικού ξενοδοχείου Ξ2</t>
  </si>
  <si>
    <t>Καταναλωση σε νερο υδρευσης ανα Μόνιμο κάτοικο και ημέρα (l/κατ/d)</t>
  </si>
  <si>
    <t>Καταναλωση σε νερο υδρευσης ανα Παραθεριστή και ημέρα (l/παρ/d)</t>
  </si>
  <si>
    <t>Καταναλωση σε νερο υδρευσης ανα κλίνη και ημέρα (l/κλ./d)</t>
  </si>
  <si>
    <r>
      <t>Καταναλωση βιοτεχνικού πάρκου  (m</t>
    </r>
    <r>
      <rPr>
        <b/>
        <vertAlign val="superscript"/>
        <sz val="14"/>
        <color theme="1"/>
        <rFont val="Arial Nova"/>
        <family val="2"/>
      </rPr>
      <t>3</t>
    </r>
    <r>
      <rPr>
        <b/>
        <sz val="14"/>
        <color theme="1"/>
        <rFont val="Arial Nova"/>
        <family val="2"/>
      </rPr>
      <t>/d)</t>
    </r>
  </si>
  <si>
    <r>
      <t>Ω</t>
    </r>
    <r>
      <rPr>
        <b/>
        <vertAlign val="subscript"/>
        <sz val="14"/>
        <color theme="1"/>
        <rFont val="Arial Nova"/>
        <family val="2"/>
      </rPr>
      <t>ΜΕΤ</t>
    </r>
    <r>
      <rPr>
        <b/>
        <sz val="14"/>
        <color theme="1"/>
        <rFont val="Arial Nova"/>
        <family val="2"/>
      </rPr>
      <t xml:space="preserve"> - Ώρες λειτουργίας βιοτεχνικού πάρκου ανά ημέρα (h)</t>
    </r>
  </si>
  <si>
    <r>
      <t>Κ</t>
    </r>
    <r>
      <rPr>
        <b/>
        <vertAlign val="subscript"/>
        <sz val="14"/>
        <color theme="1"/>
        <rFont val="Arial Nova"/>
        <family val="2"/>
      </rPr>
      <t>ΕΛ</t>
    </r>
    <r>
      <rPr>
        <b/>
        <sz val="14"/>
        <color theme="1"/>
        <rFont val="Arial Nova"/>
        <family val="2"/>
      </rPr>
      <t xml:space="preserve"> - Καταναλωση Ελαιουργείου  (m</t>
    </r>
    <r>
      <rPr>
        <b/>
        <vertAlign val="superscript"/>
        <sz val="14"/>
        <color theme="1"/>
        <rFont val="Arial Nova"/>
        <family val="2"/>
      </rPr>
      <t>3</t>
    </r>
    <r>
      <rPr>
        <b/>
        <sz val="14"/>
        <color theme="1"/>
        <rFont val="Arial Nova"/>
        <family val="2"/>
      </rPr>
      <t>/d)</t>
    </r>
  </si>
  <si>
    <t>Στάθμη γεώτρησης από την επιφάνεια εδάφους (ΣΓ) [m]</t>
  </si>
  <si>
    <t>Κόστος του αντλητικού συγκροτήματος (ΚΑΣ)   [€/kW]</t>
  </si>
  <si>
    <t>Ετήσιο κόστος συντήρησης των αντλιών (ΕΚΣΑ)   [€/kW]</t>
  </si>
  <si>
    <t>Κόστος άντλησης  (Καντλ)  [€/kW]</t>
  </si>
  <si>
    <t>επιτόκιο αναγωγής (ΕΑ)</t>
  </si>
  <si>
    <t>Κομβος από τον οποίο εισέρχεται η παροχή υδρευσης στον οικισμό</t>
  </si>
  <si>
    <t>Ο</t>
  </si>
  <si>
    <t>OB [m]</t>
  </si>
  <si>
    <t>BC [m]</t>
  </si>
  <si>
    <t>CD [m]</t>
  </si>
  <si>
    <t>DE [m]</t>
  </si>
  <si>
    <t>EF [m]</t>
  </si>
  <si>
    <t>FG [m]</t>
  </si>
  <si>
    <t>GH [m]</t>
  </si>
  <si>
    <t>HJ [m]</t>
  </si>
  <si>
    <t>JK [m]</t>
  </si>
  <si>
    <t>KL [m]</t>
  </si>
  <si>
    <t>LO [m]</t>
  </si>
  <si>
    <t>LM [m]</t>
  </si>
  <si>
    <t>MC [m]</t>
  </si>
  <si>
    <t>MN [m]</t>
  </si>
  <si>
    <t>NG [m]</t>
  </si>
  <si>
    <t>NJ [m]</t>
  </si>
  <si>
    <t>CF [m]</t>
  </si>
  <si>
    <t>Έκταση οικισμού (Θ) (τετραγωνικά χιλιόμετρα)</t>
  </si>
  <si>
    <t>Cα [m]</t>
  </si>
  <si>
    <r>
      <t>S</t>
    </r>
    <r>
      <rPr>
        <b/>
        <vertAlign val="subscript"/>
        <sz val="14"/>
        <color theme="1"/>
        <rFont val="Arial Nova"/>
        <family val="2"/>
      </rPr>
      <t>FE</t>
    </r>
  </si>
  <si>
    <r>
      <t>S</t>
    </r>
    <r>
      <rPr>
        <b/>
        <vertAlign val="subscript"/>
        <sz val="14"/>
        <color theme="1"/>
        <rFont val="Arial Nova"/>
        <family val="2"/>
      </rPr>
      <t>ED</t>
    </r>
  </si>
  <si>
    <r>
      <t>S</t>
    </r>
    <r>
      <rPr>
        <b/>
        <vertAlign val="subscript"/>
        <sz val="14"/>
        <color theme="1"/>
        <rFont val="Arial Nova"/>
        <family val="2"/>
      </rPr>
      <t>MC</t>
    </r>
  </si>
  <si>
    <r>
      <t>S</t>
    </r>
    <r>
      <rPr>
        <b/>
        <vertAlign val="subscript"/>
        <sz val="14"/>
        <color theme="1"/>
        <rFont val="Arial Nova"/>
        <family val="2"/>
      </rPr>
      <t>Cα</t>
    </r>
  </si>
  <si>
    <r>
      <t>Ε</t>
    </r>
    <r>
      <rPr>
        <b/>
        <vertAlign val="subscript"/>
        <sz val="14"/>
        <color theme="1"/>
        <rFont val="Arial Nova"/>
        <family val="2"/>
      </rPr>
      <t>FE</t>
    </r>
    <r>
      <rPr>
        <b/>
        <sz val="14"/>
        <color theme="1"/>
        <rFont val="Arial Nova"/>
        <family val="2"/>
      </rPr>
      <t xml:space="preserve"> αποχετευόμενη εκτάση αγωγού [ha]</t>
    </r>
  </si>
  <si>
    <r>
      <t>Ε</t>
    </r>
    <r>
      <rPr>
        <b/>
        <vertAlign val="subscript"/>
        <sz val="14"/>
        <color theme="1"/>
        <rFont val="Arial Nova"/>
        <family val="2"/>
      </rPr>
      <t>ED</t>
    </r>
    <r>
      <rPr>
        <b/>
        <sz val="14"/>
        <color theme="1"/>
        <rFont val="Arial Nova"/>
        <family val="2"/>
      </rPr>
      <t xml:space="preserve"> αποχετευόμενη εκτάση αγωγού [ha]</t>
    </r>
  </si>
  <si>
    <r>
      <t>Ε</t>
    </r>
    <r>
      <rPr>
        <b/>
        <vertAlign val="subscript"/>
        <sz val="14"/>
        <color theme="1"/>
        <rFont val="Arial Nova"/>
        <family val="2"/>
      </rPr>
      <t>MC</t>
    </r>
    <r>
      <rPr>
        <b/>
        <sz val="14"/>
        <color theme="1"/>
        <rFont val="Arial Nova"/>
        <family val="2"/>
      </rPr>
      <t xml:space="preserve"> αποχετευόμενη εκτάση αγωγού [ha]</t>
    </r>
  </si>
  <si>
    <r>
      <t>Ε</t>
    </r>
    <r>
      <rPr>
        <b/>
        <vertAlign val="subscript"/>
        <sz val="14"/>
        <color theme="1"/>
        <rFont val="Arial Nova"/>
        <family val="2"/>
      </rPr>
      <t xml:space="preserve">Cα </t>
    </r>
    <r>
      <rPr>
        <b/>
        <sz val="14"/>
        <color theme="1"/>
        <rFont val="Arial Nova"/>
        <family val="2"/>
      </rPr>
      <t>αποχετευόμενη εκτάση αγωγού [ha]</t>
    </r>
  </si>
  <si>
    <t>Πλησιέστερος βροχογραφικός σταθμός</t>
  </si>
  <si>
    <t>ΚΟΖΑΝΗ</t>
  </si>
  <si>
    <t>Συντελεστής απορροής C</t>
  </si>
  <si>
    <r>
      <t>t</t>
    </r>
    <r>
      <rPr>
        <b/>
        <vertAlign val="subscript"/>
        <sz val="14"/>
        <color theme="1"/>
        <rFont val="Arial Nova"/>
        <family val="2"/>
      </rPr>
      <t>MC</t>
    </r>
  </si>
  <si>
    <t>Μηκος αγωγού λυμάτων DΖ [m]</t>
  </si>
  <si>
    <t>Δεδομένα</t>
  </si>
  <si>
    <r>
      <t>Καταναλωση βιοτεχνικού πάρκου  (m</t>
    </r>
    <r>
      <rPr>
        <b/>
        <vertAlign val="superscript"/>
        <sz val="12"/>
        <color theme="1"/>
        <rFont val="Arial Nova"/>
        <family val="2"/>
      </rPr>
      <t>3</t>
    </r>
    <r>
      <rPr>
        <b/>
        <sz val="12"/>
        <color theme="1"/>
        <rFont val="Arial Nova"/>
        <family val="2"/>
      </rPr>
      <t>/d)</t>
    </r>
  </si>
  <si>
    <r>
      <t>Ω</t>
    </r>
    <r>
      <rPr>
        <b/>
        <vertAlign val="subscript"/>
        <sz val="12"/>
        <color theme="1"/>
        <rFont val="Arial Nova"/>
        <family val="2"/>
      </rPr>
      <t>ΜΕΤ</t>
    </r>
    <r>
      <rPr>
        <b/>
        <sz val="12"/>
        <color theme="1"/>
        <rFont val="Arial Nova"/>
        <family val="2"/>
      </rPr>
      <t xml:space="preserve"> - Ώρες λειτουργίας βιοτεχνικού πάρκου ανά ημέρα (h)</t>
    </r>
  </si>
  <si>
    <r>
      <t>Κ</t>
    </r>
    <r>
      <rPr>
        <b/>
        <vertAlign val="subscript"/>
        <sz val="12"/>
        <color theme="1"/>
        <rFont val="Arial Nova"/>
        <family val="2"/>
      </rPr>
      <t>ΕΛ</t>
    </r>
    <r>
      <rPr>
        <b/>
        <sz val="12"/>
        <color theme="1"/>
        <rFont val="Arial Nova"/>
        <family val="2"/>
      </rPr>
      <t xml:space="preserve"> - Καταναλωση Ελαιουργείου  (m</t>
    </r>
    <r>
      <rPr>
        <b/>
        <vertAlign val="superscript"/>
        <sz val="12"/>
        <color theme="1"/>
        <rFont val="Arial Nova"/>
        <family val="2"/>
      </rPr>
      <t>3</t>
    </r>
    <r>
      <rPr>
        <b/>
        <sz val="12"/>
        <color theme="1"/>
        <rFont val="Arial Nova"/>
        <family val="2"/>
      </rPr>
      <t>/d)</t>
    </r>
  </si>
  <si>
    <t>L/d</t>
  </si>
  <si>
    <t>L/s</t>
  </si>
  <si>
    <t>*υπόθεση για 100% πληρότητα ξενοδοχείων</t>
  </si>
  <si>
    <t>Α</t>
  </si>
  <si>
    <t>Παροχή σχεδιασμού εσωτερικού υδραγωγείου</t>
  </si>
  <si>
    <t>Βήμα 1</t>
  </si>
  <si>
    <t>Βήμα 2</t>
  </si>
  <si>
    <t>Qμόνιμων</t>
  </si>
  <si>
    <t>Qπαραθεριστών</t>
  </si>
  <si>
    <t>Ι</t>
  </si>
  <si>
    <t>Φ</t>
  </si>
  <si>
    <t>Μ</t>
  </si>
  <si>
    <t>Σ</t>
  </si>
  <si>
    <t>Ν</t>
  </si>
  <si>
    <t>Δ</t>
  </si>
  <si>
    <t>Βήμα 3</t>
  </si>
  <si>
    <t>Qτουριστών*</t>
  </si>
  <si>
    <t>Qβιοτενχ.</t>
  </si>
  <si>
    <t>Qελαιουργείου</t>
  </si>
  <si>
    <t xml:space="preserve">Μήνας </t>
  </si>
  <si>
    <t>Μον. Κατ.</t>
  </si>
  <si>
    <t>Παραθ.</t>
  </si>
  <si>
    <t>Τουρ.</t>
  </si>
  <si>
    <t>Βιοτ.</t>
  </si>
  <si>
    <t>Ελαιο.</t>
  </si>
  <si>
    <t>Με πράσινο οπού εχουμε κάθε μήνα</t>
  </si>
  <si>
    <t>Βήμα 4</t>
  </si>
  <si>
    <t>Χρήστες</t>
  </si>
  <si>
    <t>Μέση Ημ. Παροχή(L/s)</t>
  </si>
  <si>
    <t>Σενάριο Α</t>
  </si>
  <si>
    <t>Σενάριο Β</t>
  </si>
  <si>
    <t>ΣΥΝΟΛΟ</t>
  </si>
  <si>
    <t>-</t>
  </si>
  <si>
    <t>ΩΡΑ</t>
  </si>
  <si>
    <t>ΖΗΤΗΣΗ(%)</t>
  </si>
  <si>
    <t>ΠΗΓΗ(%)</t>
  </si>
  <si>
    <t>ΓΕΩΤΡΗΣΗ(%)</t>
  </si>
  <si>
    <t>%/h</t>
  </si>
  <si>
    <t>h</t>
  </si>
  <si>
    <t>Vρύθμισης</t>
  </si>
  <si>
    <t>Vβλάβης</t>
  </si>
  <si>
    <t>Vπυρκαγιάς</t>
  </si>
  <si>
    <t>Vωφέλιμο</t>
  </si>
  <si>
    <t>Qmax,day</t>
  </si>
  <si>
    <t>m^3</t>
  </si>
  <si>
    <t>Υπολογισμός Όγκων ( Ρύθμισης, Βλάβης, Πυρκαγίας και Ωφέλιμου)</t>
  </si>
  <si>
    <t>Ωρες λειτουργίας αντλίας γεώτρησης κάθε μέρα (Η)</t>
  </si>
  <si>
    <t>ΠΕΡΙΣΣΕΙΑ(%)</t>
  </si>
  <si>
    <t>Δεν έχουμε εισροή όπου 0: Γιατί μας λέει από τα δεδομένα η γεώτρηση δουλεύει 15 ώρες και ξεκινάει η λειτουργεία της από τις 4 το απόγευμα</t>
  </si>
  <si>
    <t>Τύποι που χρησιμοποιήθηκαν για τον υπολογισμό των όγκων</t>
  </si>
  <si>
    <t xml:space="preserve">Vρύθμισης = {|maxΠερίσσεια|+|maxΕλλειμμα|}*Vmax,day </t>
  </si>
  <si>
    <t>Vβλάβης= [24/ (24-tστάσης)] *Qκαταθλ.*tβλάβης + Qπηγής*tβλάβης</t>
  </si>
  <si>
    <t>Vπυρκαγίας=q(κρουν.)*N*t(πυρ.)</t>
  </si>
  <si>
    <t>Vωφέλιμο = Vρύθμισης + max{Vπυρκαγίας,Vβλάβης}</t>
  </si>
  <si>
    <t>Qκαταθλ.=Ποσοστό της γεώτρησης*Qmax,day</t>
  </si>
  <si>
    <t>Qκαταθλ</t>
  </si>
  <si>
    <t xml:space="preserve">*Επιλέγεται το μεγαλύτερο </t>
  </si>
  <si>
    <t xml:space="preserve">Διαστασιολόγιση Δεξαμενής </t>
  </si>
  <si>
    <t>m</t>
  </si>
  <si>
    <t>Aδεξαμενής</t>
  </si>
  <si>
    <t>Vδεξαμενής</t>
  </si>
  <si>
    <t>m^2</t>
  </si>
  <si>
    <t>Hf**</t>
  </si>
  <si>
    <t>Εσωτερική διάμετρος D (mm)</t>
  </si>
  <si>
    <t>V (m/s)</t>
  </si>
  <si>
    <t>Re</t>
  </si>
  <si>
    <t>ks/D</t>
  </si>
  <si>
    <t>Ονομαστική Διάμετρος φ(mm)</t>
  </si>
  <si>
    <t>A (m^2)</t>
  </si>
  <si>
    <t>Vmin(m/s)</t>
  </si>
  <si>
    <t>Vmax(m/s)</t>
  </si>
  <si>
    <t xml:space="preserve"> Συνθήκη V</t>
  </si>
  <si>
    <t>Επιλογή Κλάσης Αγωγού</t>
  </si>
  <si>
    <t>min(κλάση) = max{gΔΗmax/100 , 10atm}</t>
  </si>
  <si>
    <t>ΠΔ</t>
  </si>
  <si>
    <t>ΔΟ</t>
  </si>
  <si>
    <t>Tύποι</t>
  </si>
  <si>
    <t>ΔHmaxΠΔ</t>
  </si>
  <si>
    <t>ΔHmaxΔΟ</t>
  </si>
  <si>
    <t>min(κλάση) ΠΔ</t>
  </si>
  <si>
    <t>min(κλάση) ΔΟ</t>
  </si>
  <si>
    <t>10atm</t>
  </si>
  <si>
    <t xml:space="preserve">ΠΔ: minΠ - maxΔ </t>
  </si>
  <si>
    <t xml:space="preserve">ΔΟ: minΔ - maxΟ </t>
  </si>
  <si>
    <t>f</t>
  </si>
  <si>
    <t>ok</t>
  </si>
  <si>
    <t>Σύκριση Ηf με ΔHαπωλ</t>
  </si>
  <si>
    <t>οκ</t>
  </si>
  <si>
    <t>ΕΑ</t>
  </si>
  <si>
    <t>Συνολική ετήσια δαπάνη</t>
  </si>
  <si>
    <t>m^3/day</t>
  </si>
  <si>
    <t xml:space="preserve"> €/kW</t>
  </si>
  <si>
    <t xml:space="preserve">Κόστος άντλησης  (Καντλ) </t>
  </si>
  <si>
    <t>Ετήσιο κόστος συντήρησης των αντλιών (ΕΚΣΑ)</t>
  </si>
  <si>
    <t xml:space="preserve">Κόστος του αντλητικού συγκροτήματος (ΚΑΣ)   </t>
  </si>
  <si>
    <t xml:space="preserve">ΓΔ: maxΔ - minΓ </t>
  </si>
  <si>
    <t>ΔHf=2%*L=0.02*580=11.6m</t>
  </si>
  <si>
    <t>min(κλάση) ΓΔ</t>
  </si>
  <si>
    <t>m^3/s</t>
  </si>
  <si>
    <t>years</t>
  </si>
  <si>
    <t>Χρόνος απόσβ.εξοπλ.</t>
  </si>
  <si>
    <t>Χρόνος απόσβ. Αγωγού</t>
  </si>
  <si>
    <t>συντελεστής απόδοσης αντλιών</t>
  </si>
  <si>
    <t>Αποτελέσματα</t>
  </si>
  <si>
    <t>ΓΔ</t>
  </si>
  <si>
    <t>Ονομαστική Διάμετρος(mm)</t>
  </si>
  <si>
    <t>Di  (m)</t>
  </si>
  <si>
    <t>α (m/s)</t>
  </si>
  <si>
    <t>L(m)</t>
  </si>
  <si>
    <t>Tκ (s)</t>
  </si>
  <si>
    <t>V</t>
  </si>
  <si>
    <t>ξmax (m)</t>
  </si>
  <si>
    <t>Πρόβλεψη υδραυλικού πλήγματος</t>
  </si>
  <si>
    <t>g</t>
  </si>
  <si>
    <t>γ(kg/m^3)</t>
  </si>
  <si>
    <t>ε(kg/m^2)</t>
  </si>
  <si>
    <t>S(m)</t>
  </si>
  <si>
    <t>E(kPa)</t>
  </si>
  <si>
    <t>Μόνιμοι 2063</t>
  </si>
  <si>
    <t>Παραθεριστές 2063</t>
  </si>
  <si>
    <t>ΔΗτοπ.</t>
  </si>
  <si>
    <t>Ετήσιος Ογκος</t>
  </si>
  <si>
    <t>L</t>
  </si>
  <si>
    <t>Συνολικά</t>
  </si>
  <si>
    <t>Vμόνιμων</t>
  </si>
  <si>
    <t>Vπαραθεριστών</t>
  </si>
  <si>
    <t>Vτουριστών</t>
  </si>
  <si>
    <t>Vβιοτενχ.</t>
  </si>
  <si>
    <t>Vελαιουργείου</t>
  </si>
  <si>
    <t>Εσωτερική Διάμετρος(mm)</t>
  </si>
  <si>
    <t xml:space="preserve">1.1 </t>
  </si>
  <si>
    <t>Υπολογισμός του πλυθησμού μετα από 40 χρόνια (P=Po(1+r%)^t)</t>
  </si>
  <si>
    <t>Υπολογισμός μέσης ημερήσιας παροχής Q για κάθε χρήση (το 2063)</t>
  </si>
  <si>
    <r>
      <t>Υπολογισμός ετήσιου όγκου νερού (data 2063) [m</t>
    </r>
    <r>
      <rPr>
        <b/>
        <vertAlign val="superscript"/>
        <sz val="14"/>
        <color theme="1"/>
        <rFont val="Calibri"/>
        <family val="2"/>
        <charset val="161"/>
        <scheme val="minor"/>
      </rPr>
      <t>3</t>
    </r>
    <r>
      <rPr>
        <b/>
        <sz val="14"/>
        <color theme="1"/>
        <rFont val="Calibri"/>
        <family val="2"/>
        <scheme val="minor"/>
      </rPr>
      <t>/year]</t>
    </r>
  </si>
  <si>
    <t>Συντελεστής Ημ. Αιχμ. Θέρος (λ1)</t>
  </si>
  <si>
    <t>Συντελεστής Ωρ. Αιχμ. (λ2)</t>
  </si>
  <si>
    <t>1.2</t>
  </si>
  <si>
    <t>Παροχή πηγής οικισμού (Qπ)  [m3/d]</t>
  </si>
  <si>
    <t>Vmax,day [m3]</t>
  </si>
  <si>
    <t>%</t>
  </si>
  <si>
    <t>Ποσοστό Συνεισφοράς πηγής ανά ώρα:</t>
  </si>
  <si>
    <t>Ποσοστό συνεισφοράς πηγής:</t>
  </si>
  <si>
    <t>Ποσοστό συνεισφοράς γεώτρησης:</t>
  </si>
  <si>
    <t>Ποσοστό Συνεισφοράς γεώτρησης ανά ώρα.:</t>
  </si>
  <si>
    <t>Ωφέλιμο Υψος Δεξαμενής (Φ)</t>
  </si>
  <si>
    <t xml:space="preserve">Άρα tστάσης λειτουργίας αντλίας γεώτρησης </t>
  </si>
  <si>
    <t>1.3 α)</t>
  </si>
  <si>
    <t>1.3 β)</t>
  </si>
  <si>
    <t>Από σχήμα στην εκφώνηση του Project</t>
  </si>
  <si>
    <t>Παροχή πηγής (Qπ)</t>
  </si>
  <si>
    <t>Υψόμετρο Πηγής</t>
  </si>
  <si>
    <t>Υψόμετρο Δεξαμενής</t>
  </si>
  <si>
    <t>Υψόμετρο Γεώτρησης</t>
  </si>
  <si>
    <t>Υψόμετρο Οικισμού</t>
  </si>
  <si>
    <t>Υπολογισμός Μέγιστου Διαθέσιμου  Ύψους Ενέργειας (maxΔΗαπωλ)</t>
  </si>
  <si>
    <t>Μέγιστη Ημ. Παροχή(L/s)</t>
  </si>
  <si>
    <t>Μέγιστη Ωρ. Παροχή(L/s)</t>
  </si>
  <si>
    <t>Παροχή σχεδιασμού εξωτερικού υδραγωγείου (max ΗΜΕΡΗΣΙΑ)</t>
  </si>
  <si>
    <t>Παροχή σχεδιασμού εσωτερικού υδραγωγείου (max ΩΡΙΑΙΑ)</t>
  </si>
  <si>
    <t>Qmax,ωριαία = Qεσωτερικού (m3/s)</t>
  </si>
  <si>
    <t>Qπηγής =34,7%Qmax,ημερήσιας (m3/s)</t>
  </si>
  <si>
    <t>Ωφέλιμο ύψος δεξαμενής (Φ) [m]</t>
  </si>
  <si>
    <t>Ονομαστική Διάμετρος φ  (mm)</t>
  </si>
  <si>
    <t>Δz=230+4-(205-47)= 76m</t>
  </si>
  <si>
    <t>Δhτοπ=max{0.05Ημαν.,3m} =4,38m</t>
  </si>
  <si>
    <t>Qκαταθλιπτικού αγωγού ΓΔ</t>
  </si>
  <si>
    <t xml:space="preserve">Η'μαν </t>
  </si>
  <si>
    <t>ΚΑΣ (ευρώ/kW)</t>
  </si>
  <si>
    <t>ΕΚΣΑ (ευρώ/kW)</t>
  </si>
  <si>
    <t>Καντλ. (ευρώ/kW)</t>
  </si>
  <si>
    <t>κόστος αγωγού (ευρώ/m)</t>
  </si>
  <si>
    <t>C αγωγού (ευρώ/y)</t>
  </si>
  <si>
    <t>C αντλητικού συστήματος (ευρώ/y)</t>
  </si>
  <si>
    <t>Cλειτουργίας (ευρώ/y)</t>
  </si>
  <si>
    <t>Συνολική Δαπάνη αγωγού (ευρώ)</t>
  </si>
  <si>
    <t>Συνολική Δαπάνη αντλητικού συστήματος (ευρώ)</t>
  </si>
  <si>
    <t>C συντήρησης αντλ. (ευρώ/y)</t>
  </si>
  <si>
    <t>ετήσια Ενέργεια (kWh/y)</t>
  </si>
  <si>
    <t>Qκαταθλιπτικού</t>
  </si>
  <si>
    <t>Κόστος( €/m)</t>
  </si>
  <si>
    <t>Γραμμικές Απώλειες Hf** (m)</t>
  </si>
  <si>
    <t>Pαπαιτούμενη (kW)</t>
  </si>
  <si>
    <t>Pεγκατάστασης (kW)</t>
  </si>
  <si>
    <t xml:space="preserve">Μόνιμοι Κάτοικοι </t>
  </si>
  <si>
    <t>Παραθεριστές</t>
  </si>
  <si>
    <t>Τουρίστες / Ξενοδοχεία</t>
  </si>
  <si>
    <t>Βιοτεχνικό Πάρκο</t>
  </si>
  <si>
    <t xml:space="preserve">Ελαιουργείο </t>
  </si>
  <si>
    <t>Θερινό Σενάριο (σχεδιασμού) Qmax, ωριαίο (L/s)</t>
  </si>
  <si>
    <t>Χειμερινό Σενάριο (σχεδιασμού) Qmax, ωριαίο (L/s)</t>
  </si>
  <si>
    <t xml:space="preserve">Kόμβος </t>
  </si>
  <si>
    <t>Δ1</t>
  </si>
  <si>
    <t>Δ2</t>
  </si>
  <si>
    <t>B</t>
  </si>
  <si>
    <t>C</t>
  </si>
  <si>
    <t>D</t>
  </si>
  <si>
    <t>E</t>
  </si>
  <si>
    <t>F</t>
  </si>
  <si>
    <t>G</t>
  </si>
  <si>
    <t>H</t>
  </si>
  <si>
    <t>J</t>
  </si>
  <si>
    <t xml:space="preserve">K </t>
  </si>
  <si>
    <t>M</t>
  </si>
  <si>
    <t>N</t>
  </si>
  <si>
    <t xml:space="preserve">O </t>
  </si>
  <si>
    <t>K</t>
  </si>
  <si>
    <t>O</t>
  </si>
  <si>
    <t xml:space="preserve">ΜΗΤΡΩΟ ΣΥΝΔΕΣΗΣ ΚΟΜΒΩΝ </t>
  </si>
  <si>
    <t xml:space="preserve">ΜΗΤΡΩΟ ΠΡΑΓΜΑΤΙΚΟΥ ΜΗΚΟΥΣ ΚΛΑΔΩΝ </t>
  </si>
  <si>
    <t>ΜΗΤΡΩΟ ΣΥΝΤΕΛΕΣΤΩΝ ΙΣΟΔΥΝΑΜΟΥ ΜΗΚΟΥΣ (ΠΑΡΑΘΕΡΙΣΤΕΣ)</t>
  </si>
  <si>
    <t>ΜΗΤΡΩΟ ΣΥΝΤΕΛΕΣΤΩΝ ΙΣΟΔΥΝΑΜΟΥ ΜΗΚΟΥΣ (ΤΟΥΡΙΣΤΕΣ)</t>
  </si>
  <si>
    <t>ΜΗΤΡΩΟ ΣΥΝΤΕΛΕΣΤΩΝ ΙΣΟΔΥΝΑΜΟΥ ΜΗΚΟΥΣ (ΜΟΝΙΜΟΥΣ ΚΑΤΟΙΚΟΥΣ ΚΑΙ ΧΑΜΗΛΟ ΣΥΝΕΤΕΛΕΣΤΗ ΔΟΜΗΣΗΣ 0,8)</t>
  </si>
  <si>
    <t>ΜΗΤΡΩΟ ΣΥΝΤΕΛΕΣΤΩΝ ΙΣΟΔΥΝΑΜΟΥ ΜΗΚΟΥΣ (ΜΟΝΙΜΟΥΣ ΚΑΤΟΙΚΟΥΣ ΚΑΙ ΥΨΗΛΟ ΣΥΝΕΤΕΛΕΣΤΗ ΔΟΜΗΣΗΣ 1,6)</t>
  </si>
  <si>
    <t>ΜΗΤΡΩΟ ΤΕΛΙΚΩΝ ΣΥΝΤΕΛΕΣΤΩΝ ΙΣΟΔΥΝΑΜΟΥ ΜΗΚΟΥΣ (ΜΟΝΙΜΟΥΣ ΚΑΤΟΙΚΟΥΣ - ΥΨΗΛΟ ΚΑΙ ΧΑΜΗΛΟ ΣΥΝΕΤΕΛΕΣΤΗ ΔΟΜΗΣΗΣ)</t>
  </si>
  <si>
    <t>ΜΗΤΡΩΟ ΙΣΟΔΥΝΑΜΟΥ ΜΗΚΟΥΣ ΓΙΑ ΜΟΝΙΜΟΥΣ ΚΑΤΟΙΚΟΥΣ</t>
  </si>
  <si>
    <t>ΜΗΤΡΩΟ ΙΣΟΔΥΝΑΜΟΥ ΜΗΚΟΥΣ (ΠΑΡΑΘΕΡΙΣΤΕΣ)</t>
  </si>
  <si>
    <t>ΜΗΤΡΩΟ ΙΣΟΔΥΝΑΜΟΥ ΜΗΚΟΥΣ (ΤΟΥΡΙΣΤΕΣ)</t>
  </si>
  <si>
    <t xml:space="preserve">Υπολογίζεται το σύνολο: </t>
  </si>
  <si>
    <t>Μητρώο συντελεστών κατανομής παροχής σχεδιασμού Qmax,ωρ στους κόμβους</t>
  </si>
  <si>
    <t xml:space="preserve">Παραθεριστές </t>
  </si>
  <si>
    <t>Τουρίστες</t>
  </si>
  <si>
    <t>Σύνολο</t>
  </si>
  <si>
    <t xml:space="preserve">Q Μόνιμοι Κάτοικοι </t>
  </si>
  <si>
    <t xml:space="preserve">Q Παραθεριστές </t>
  </si>
  <si>
    <t>Q Τουρίστες</t>
  </si>
  <si>
    <t>Σύνολο Επικόμβιο</t>
  </si>
  <si>
    <t xml:space="preserve">Βιοτεχνικό Πάρκο </t>
  </si>
  <si>
    <t xml:space="preserve">Πυρόσβεση </t>
  </si>
  <si>
    <t xml:space="preserve">Ελαιουργέιο </t>
  </si>
  <si>
    <t xml:space="preserve">Q Βιοτεχνικό Πάρκο </t>
  </si>
  <si>
    <t xml:space="preserve">Q Ελαιουργείο </t>
  </si>
  <si>
    <t xml:space="preserve">Q Πυρόσβεση </t>
  </si>
  <si>
    <t>Υψόμετρο εδάφους  (m)</t>
  </si>
  <si>
    <t>ΟΚ</t>
  </si>
  <si>
    <t>ΈΛΕΓΧΟΣ ΜΕΓΙΣΤΩΝ ΠΙΕΣΕΩΝ</t>
  </si>
  <si>
    <t>ΈΛΕΓΧΟΣ ΕΛΑΧΙΣΤΩΝ ΠΙΕΣΕΩΝ</t>
  </si>
  <si>
    <t>Υψόμετρο + Απαιτούμενη Πίεση για 3όροφα</t>
  </si>
  <si>
    <t>Ανώτατη Στάθμη Δεξαμενής (Α.Σ) = 234m</t>
  </si>
  <si>
    <t>έλεγχος μεγίστων πιέσεων ( &lt;60-70m)</t>
  </si>
  <si>
    <t xml:space="preserve">max(P/γ) (m) // HEAD </t>
  </si>
  <si>
    <t>min(P/γ) (m) // PRESSURE</t>
  </si>
  <si>
    <t>Εξωτερική Διάμετρος φ (mm)</t>
  </si>
  <si>
    <t>Eσωτερική Διάμετρος D (mm)</t>
  </si>
  <si>
    <t>Δ1Δ2</t>
  </si>
  <si>
    <t>Δ2Ο</t>
  </si>
  <si>
    <t>ΟΒ</t>
  </si>
  <si>
    <t>ΒC</t>
  </si>
  <si>
    <t>CD</t>
  </si>
  <si>
    <t>DE</t>
  </si>
  <si>
    <t>EF</t>
  </si>
  <si>
    <t>FG</t>
  </si>
  <si>
    <t>GH</t>
  </si>
  <si>
    <t>HJ</t>
  </si>
  <si>
    <t>JK</t>
  </si>
  <si>
    <t>KL</t>
  </si>
  <si>
    <t>LO</t>
  </si>
  <si>
    <t>GN</t>
  </si>
  <si>
    <t>NM</t>
  </si>
  <si>
    <t>ML</t>
  </si>
  <si>
    <t>MC</t>
  </si>
  <si>
    <t>NJ</t>
  </si>
  <si>
    <t>CF</t>
  </si>
  <si>
    <t>Πάχος (mm)</t>
  </si>
  <si>
    <t xml:space="preserve">ΔΗmax = </t>
  </si>
  <si>
    <t xml:space="preserve">minκλάση </t>
  </si>
  <si>
    <t xml:space="preserve">Άρα κλάση = </t>
  </si>
  <si>
    <t>atm</t>
  </si>
  <si>
    <t xml:space="preserve">ή 10atm </t>
  </si>
  <si>
    <t>1.5</t>
  </si>
  <si>
    <t>ΕΠΙΛΕΓΕΤΑΙ ΤΟ ΣΕΝΑΡΙΟ Α:</t>
  </si>
  <si>
    <t>Έυρεση Βέλτιστης διαμέτρου αγωγού ΠΔ κλάσης 10atm - Βαρυτικός αγωγός Εξωτερικού Υδραγωγείου</t>
  </si>
  <si>
    <t>Έυρεση Βέλτιστης διαμέτρου αγωγού ΔΟ κλάσης 10atm - Βαρυτικός αγωγός Εσωτερικού Υδραγωγείου</t>
  </si>
  <si>
    <t xml:space="preserve">Έυρεση Βέλτιστης διαμέτρου αγωγού ΓΔ κλάσης 16atm - Καταθλιπτικός αγωγός Εξωτερικού Υδραγωγείου </t>
  </si>
  <si>
    <r>
      <rPr>
        <sz val="11"/>
        <color rgb="FF7030A0"/>
        <rFont val="Calibri"/>
        <family val="2"/>
        <charset val="161"/>
        <scheme val="minor"/>
      </rPr>
      <t>ΔHmax</t>
    </r>
    <r>
      <rPr>
        <sz val="11"/>
        <color theme="1"/>
        <rFont val="Calibri"/>
        <family val="2"/>
        <charset val="161"/>
        <scheme val="minor"/>
      </rPr>
      <t xml:space="preserve"> = Aνώτερη στάθμη τροφοδοσίας - κατώτερο υψόμετρο αγωγού + 30~40m υδρ. Πλήγμα</t>
    </r>
  </si>
  <si>
    <r>
      <rPr>
        <sz val="11"/>
        <color rgb="FF7030A0"/>
        <rFont val="Calibri"/>
        <family val="2"/>
        <charset val="161"/>
        <scheme val="minor"/>
      </rPr>
      <t>Ημαν.</t>
    </r>
    <r>
      <rPr>
        <sz val="11"/>
        <color theme="1"/>
        <rFont val="Calibri"/>
        <family val="2"/>
        <charset val="161"/>
        <scheme val="minor"/>
      </rPr>
      <t>= Δz + Δhτοπ. + ΔHf = 76 + 4,38 + 11,6 = 91,98m</t>
    </r>
  </si>
  <si>
    <t>(υποθέτω κλίση γραμμής ενέργειας J= 2m/100m αγωγού)</t>
  </si>
  <si>
    <t xml:space="preserve">Κόμβοι </t>
  </si>
  <si>
    <t xml:space="preserve">Επικόβιες </t>
  </si>
  <si>
    <t xml:space="preserve">παροχές </t>
  </si>
  <si>
    <t xml:space="preserve">θερινού </t>
  </si>
  <si>
    <t xml:space="preserve">σεναρίου </t>
  </si>
  <si>
    <t xml:space="preserve">χειμερινού </t>
  </si>
  <si>
    <t>Διαστασιολογημένος ήδη από το 1.3</t>
  </si>
  <si>
    <t>ΔΙΑΣΤΑΣΙΟΛΟΓΗΣΗ ΑΓΩΓΩΝ HDPE 10ATM ΕΣΩΤΕΡΙΚΟΥ ΔΙΚΤΥΟΥ ΥΔΡΕΥΣΗΣ</t>
  </si>
  <si>
    <t>ΣΤΟΙΧΕΙΑ ΟΛΙΚΩΝ ΚΑΤΑΝΑΛΩΣΕΩΝ</t>
  </si>
  <si>
    <t>Κατώτατη Στάθμη Δεξαμενής (Κ.Σ) = 231m,  Aριθμός Οροφών n=3,  Aπαιτούμενο ύψος πίεσης για 3όροφα = (3+1)*4 = 16m</t>
  </si>
  <si>
    <t>ΣΧΗΜΑΤΙΚΗ ΔΙΑΤΑΞΗ (ΚΟΜΒΟΙ + ΑΓΩΓΟΙ) ΕΣΩΤΕΡΙΚΟΥ ΔΙΚΤΥΟΥ ΔΙΑΝΟΜΗΣ</t>
  </si>
  <si>
    <t>Επιλογή Κλάσης Αγωγών</t>
  </si>
  <si>
    <t>Αγωγοί (Pipes)</t>
  </si>
  <si>
    <t>έλεγχος ελαχίστων πιέσεων ( &lt;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</si>
</sst>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0.0"/>
    <numFmt numFmtId="165" formatCode="0.0000"/>
    <numFmt numFmtId="166" formatCode="0.0%"/>
    <numFmt numFmtId="167" formatCode="h:mm;@"/>
    <numFmt numFmtId="168" formatCode="0.000"/>
  </numFmts>
  <fonts count="63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charset val="161"/>
      <scheme val="minor"/>
    </font>
    <font>
      <b/>
      <sz val="16"/>
      <color theme="1"/>
      <name val="Arial Nova"/>
      <family val="2"/>
    </font>
    <font>
      <sz val="14"/>
      <color theme="1"/>
      <name val="Arial Nova"/>
      <family val="2"/>
    </font>
    <font>
      <b/>
      <sz val="14"/>
      <color theme="1"/>
      <name val="Arial Nova"/>
      <family val="2"/>
    </font>
    <font>
      <sz val="12"/>
      <color theme="1"/>
      <name val="Arial Nova"/>
      <family val="2"/>
    </font>
    <font>
      <b/>
      <vertAlign val="superscript"/>
      <sz val="14"/>
      <color theme="1"/>
      <name val="Arial Nova"/>
      <family val="2"/>
    </font>
    <font>
      <b/>
      <vertAlign val="subscript"/>
      <sz val="14"/>
      <color theme="1"/>
      <name val="Arial Nova"/>
      <family val="2"/>
    </font>
    <font>
      <sz val="11"/>
      <color theme="1"/>
      <name val="Calibri"/>
      <family val="2"/>
      <charset val="161"/>
      <scheme val="minor"/>
    </font>
    <font>
      <b/>
      <sz val="12"/>
      <color theme="1"/>
      <name val="Arial Nova"/>
      <family val="2"/>
    </font>
    <font>
      <b/>
      <vertAlign val="superscript"/>
      <sz val="12"/>
      <color theme="1"/>
      <name val="Arial Nova"/>
      <family val="2"/>
    </font>
    <font>
      <b/>
      <vertAlign val="subscript"/>
      <sz val="12"/>
      <color theme="1"/>
      <name val="Arial Nova"/>
      <family val="2"/>
    </font>
    <font>
      <b/>
      <sz val="11"/>
      <color theme="1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u/>
      <sz val="16"/>
      <color theme="1"/>
      <name val="Calibri"/>
      <family val="2"/>
      <scheme val="minor"/>
    </font>
    <font>
      <b/>
      <sz val="14"/>
      <color rgb="FFFF0000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 Nova"/>
      <family val="2"/>
    </font>
    <font>
      <sz val="11"/>
      <color theme="1"/>
      <name val="Arial Nova"/>
      <family val="2"/>
    </font>
    <font>
      <b/>
      <sz val="12"/>
      <color rgb="FF002060"/>
      <name val="Calibri"/>
      <family val="2"/>
      <scheme val="minor"/>
    </font>
    <font>
      <b/>
      <u/>
      <sz val="11"/>
      <color rgb="FF9C0006"/>
      <name val="Calibri"/>
      <family val="2"/>
      <scheme val="minor"/>
    </font>
    <font>
      <u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sz val="11"/>
      <color theme="5" tint="-0.249977111117893"/>
      <name val="Calibri"/>
      <family val="2"/>
      <charset val="161"/>
      <scheme val="minor"/>
    </font>
    <font>
      <sz val="12"/>
      <color theme="5" tint="-0.249977111117893"/>
      <name val="Calibri"/>
      <family val="2"/>
      <charset val="161"/>
      <scheme val="minor"/>
    </font>
    <font>
      <sz val="14"/>
      <color theme="5" tint="-0.249977111117893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u/>
      <sz val="10"/>
      <color theme="1"/>
      <name val="Calibri"/>
      <family val="2"/>
      <charset val="161"/>
      <scheme val="minor"/>
    </font>
    <font>
      <b/>
      <sz val="11"/>
      <color theme="5" tint="-0.249977111117893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vertAlign val="superscript"/>
      <sz val="14"/>
      <color theme="1"/>
      <name val="Calibri"/>
      <family val="2"/>
      <charset val="161"/>
      <scheme val="minor"/>
    </font>
    <font>
      <sz val="14"/>
      <color rgb="FFFF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161"/>
      <scheme val="minor"/>
    </font>
    <font>
      <b/>
      <sz val="26"/>
      <color rgb="FFFF0000"/>
      <name val="Calibri"/>
      <family val="2"/>
      <scheme val="minor"/>
    </font>
    <font>
      <b/>
      <sz val="28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sz val="22"/>
      <color theme="1"/>
      <name val="Calibri"/>
      <family val="2"/>
      <charset val="161"/>
      <scheme val="minor"/>
    </font>
    <font>
      <sz val="36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1"/>
      <color rgb="FF7030A0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  <font>
      <b/>
      <sz val="24"/>
      <color theme="1"/>
      <name val="Calibri"/>
      <family val="2"/>
      <charset val="161"/>
      <scheme val="minor"/>
    </font>
    <font>
      <b/>
      <sz val="26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0.399975585192419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9" fontId="12" fillId="0" borderId="0" applyFont="0" applyFill="0" applyBorder="0" applyAlignment="0" applyProtection="0"/>
    <xf numFmtId="0" fontId="23" fillId="8" borderId="0" applyNumberFormat="0" applyBorder="0" applyAlignment="0" applyProtection="0"/>
  </cellStyleXfs>
  <cellXfs count="27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3" fillId="0" borderId="0" xfId="0" applyFont="1"/>
    <xf numFmtId="0" fontId="4" fillId="0" borderId="0" xfId="0" applyFont="1" applyAlignment="1">
      <alignment textRotation="90"/>
    </xf>
    <xf numFmtId="0" fontId="6" fillId="0" borderId="1" xfId="0" applyFont="1" applyBorder="1" applyAlignment="1">
      <alignment textRotation="90"/>
    </xf>
    <xf numFmtId="0" fontId="8" fillId="0" borderId="1" xfId="0" applyFont="1" applyBorder="1"/>
    <xf numFmtId="0" fontId="9" fillId="0" borderId="1" xfId="0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1" fontId="9" fillId="0" borderId="1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49" fontId="7" fillId="2" borderId="1" xfId="1" applyNumberFormat="1" applyFont="1" applyBorder="1" applyAlignment="1">
      <alignment textRotation="90"/>
    </xf>
    <xf numFmtId="166" fontId="9" fillId="0" borderId="1" xfId="2" applyNumberFormat="1" applyFont="1" applyBorder="1" applyAlignment="1">
      <alignment horizontal="right"/>
    </xf>
    <xf numFmtId="0" fontId="13" fillId="0" borderId="1" xfId="0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49" fontId="8" fillId="2" borderId="1" xfId="1" applyNumberFormat="1" applyFont="1" applyBorder="1" applyAlignment="1"/>
    <xf numFmtId="0" fontId="19" fillId="0" borderId="2" xfId="0" applyFont="1" applyBorder="1"/>
    <xf numFmtId="1" fontId="16" fillId="0" borderId="1" xfId="0" applyNumberFormat="1" applyFont="1" applyBorder="1"/>
    <xf numFmtId="0" fontId="3" fillId="3" borderId="0" xfId="0" applyFont="1" applyFill="1" applyAlignment="1">
      <alignment horizontal="center"/>
    </xf>
    <xf numFmtId="1" fontId="16" fillId="0" borderId="0" xfId="0" applyNumberFormat="1" applyFont="1"/>
    <xf numFmtId="0" fontId="17" fillId="0" borderId="3" xfId="0" applyFont="1" applyBorder="1"/>
    <xf numFmtId="0" fontId="0" fillId="0" borderId="3" xfId="0" applyBorder="1"/>
    <xf numFmtId="0" fontId="19" fillId="0" borderId="2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0" fontId="19" fillId="7" borderId="2" xfId="0" applyFont="1" applyFill="1" applyBorder="1" applyAlignment="1">
      <alignment horizontal="center"/>
    </xf>
    <xf numFmtId="2" fontId="19" fillId="0" borderId="2" xfId="0" applyNumberFormat="1" applyFont="1" applyBorder="1"/>
    <xf numFmtId="2" fontId="19" fillId="0" borderId="1" xfId="0" applyNumberFormat="1" applyFont="1" applyBorder="1" applyAlignment="1">
      <alignment horizontal="center"/>
    </xf>
    <xf numFmtId="2" fontId="21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2" fontId="19" fillId="4" borderId="1" xfId="0" applyNumberFormat="1" applyFont="1" applyFill="1" applyBorder="1" applyAlignment="1">
      <alignment horizontal="center"/>
    </xf>
    <xf numFmtId="167" fontId="0" fillId="0" borderId="0" xfId="0" applyNumberFormat="1"/>
    <xf numFmtId="0" fontId="0" fillId="0" borderId="9" xfId="0" applyBorder="1"/>
    <xf numFmtId="0" fontId="0" fillId="0" borderId="9" xfId="0" applyBorder="1" applyAlignment="1">
      <alignment horizontal="center"/>
    </xf>
    <xf numFmtId="167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11" borderId="9" xfId="0" applyFill="1" applyBorder="1" applyAlignment="1">
      <alignment horizontal="center"/>
    </xf>
    <xf numFmtId="2" fontId="27" fillId="10" borderId="9" xfId="0" applyNumberFormat="1" applyFont="1" applyFill="1" applyBorder="1" applyAlignment="1">
      <alignment horizontal="center"/>
    </xf>
    <xf numFmtId="0" fontId="24" fillId="0" borderId="9" xfId="0" applyFont="1" applyBorder="1" applyAlignment="1">
      <alignment horizontal="center"/>
    </xf>
    <xf numFmtId="2" fontId="26" fillId="0" borderId="9" xfId="0" applyNumberFormat="1" applyFont="1" applyBorder="1" applyAlignment="1">
      <alignment horizontal="center"/>
    </xf>
    <xf numFmtId="2" fontId="16" fillId="0" borderId="9" xfId="0" applyNumberFormat="1" applyFont="1" applyBorder="1" applyAlignment="1">
      <alignment horizontal="center"/>
    </xf>
    <xf numFmtId="2" fontId="25" fillId="9" borderId="9" xfId="0" applyNumberFormat="1" applyFont="1" applyFill="1" applyBorder="1" applyAlignment="1">
      <alignment horizontal="center"/>
    </xf>
    <xf numFmtId="1" fontId="26" fillId="0" borderId="9" xfId="0" applyNumberFormat="1" applyFont="1" applyBorder="1" applyAlignment="1">
      <alignment horizontal="center"/>
    </xf>
    <xf numFmtId="0" fontId="24" fillId="0" borderId="0" xfId="0" applyFont="1" applyAlignment="1">
      <alignment horizontal="center"/>
    </xf>
    <xf numFmtId="168" fontId="26" fillId="0" borderId="9" xfId="0" applyNumberFormat="1" applyFont="1" applyBorder="1" applyAlignment="1">
      <alignment horizontal="center"/>
    </xf>
    <xf numFmtId="0" fontId="18" fillId="0" borderId="0" xfId="0" applyFont="1"/>
    <xf numFmtId="0" fontId="16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0" fillId="12" borderId="9" xfId="0" applyFill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12" borderId="9" xfId="0" applyNumberFormat="1" applyFill="1" applyBorder="1" applyAlignment="1">
      <alignment horizontal="center"/>
    </xf>
    <xf numFmtId="2" fontId="0" fillId="13" borderId="9" xfId="0" applyNumberFormat="1" applyFill="1" applyBorder="1" applyAlignment="1">
      <alignment horizontal="center"/>
    </xf>
    <xf numFmtId="0" fontId="0" fillId="13" borderId="9" xfId="0" applyFill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13" borderId="9" xfId="0" applyNumberFormat="1" applyFill="1" applyBorder="1" applyAlignment="1">
      <alignment horizontal="center"/>
    </xf>
    <xf numFmtId="0" fontId="34" fillId="0" borderId="0" xfId="0" applyFont="1"/>
    <xf numFmtId="0" fontId="24" fillId="12" borderId="9" xfId="0" applyFont="1" applyFill="1" applyBorder="1" applyAlignment="1">
      <alignment horizontal="center"/>
    </xf>
    <xf numFmtId="0" fontId="35" fillId="0" borderId="0" xfId="0" applyFont="1"/>
    <xf numFmtId="0" fontId="29" fillId="0" borderId="0" xfId="0" applyFont="1"/>
    <xf numFmtId="0" fontId="0" fillId="12" borderId="1" xfId="0" applyFill="1" applyBorder="1" applyAlignment="1">
      <alignment horizontal="center"/>
    </xf>
    <xf numFmtId="0" fontId="36" fillId="0" borderId="1" xfId="0" applyFont="1" applyBorder="1" applyAlignment="1">
      <alignment horizontal="center"/>
    </xf>
    <xf numFmtId="2" fontId="31" fillId="0" borderId="9" xfId="0" applyNumberFormat="1" applyFont="1" applyBorder="1" applyAlignment="1">
      <alignment horizontal="center"/>
    </xf>
    <xf numFmtId="1" fontId="18" fillId="3" borderId="9" xfId="0" applyNumberFormat="1" applyFont="1" applyFill="1" applyBorder="1" applyAlignment="1">
      <alignment horizontal="center"/>
    </xf>
    <xf numFmtId="2" fontId="18" fillId="3" borderId="9" xfId="0" applyNumberFormat="1" applyFont="1" applyFill="1" applyBorder="1" applyAlignment="1">
      <alignment horizontal="center"/>
    </xf>
    <xf numFmtId="0" fontId="18" fillId="3" borderId="9" xfId="0" applyFont="1" applyFill="1" applyBorder="1" applyAlignment="1">
      <alignment horizontal="center"/>
    </xf>
    <xf numFmtId="1" fontId="37" fillId="13" borderId="9" xfId="0" applyNumberFormat="1" applyFont="1" applyFill="1" applyBorder="1" applyAlignment="1">
      <alignment horizontal="center"/>
    </xf>
    <xf numFmtId="2" fontId="37" fillId="13" borderId="9" xfId="0" applyNumberFormat="1" applyFont="1" applyFill="1" applyBorder="1" applyAlignment="1">
      <alignment horizontal="center"/>
    </xf>
    <xf numFmtId="0" fontId="37" fillId="13" borderId="9" xfId="0" applyFont="1" applyFill="1" applyBorder="1" applyAlignment="1">
      <alignment horizontal="center"/>
    </xf>
    <xf numFmtId="1" fontId="33" fillId="3" borderId="9" xfId="0" applyNumberFormat="1" applyFont="1" applyFill="1" applyBorder="1" applyAlignment="1">
      <alignment horizontal="center"/>
    </xf>
    <xf numFmtId="2" fontId="33" fillId="3" borderId="9" xfId="0" applyNumberFormat="1" applyFont="1" applyFill="1" applyBorder="1" applyAlignment="1">
      <alignment horizontal="center"/>
    </xf>
    <xf numFmtId="0" fontId="33" fillId="3" borderId="9" xfId="0" applyFont="1" applyFill="1" applyBorder="1" applyAlignment="1">
      <alignment horizontal="center"/>
    </xf>
    <xf numFmtId="0" fontId="19" fillId="0" borderId="21" xfId="0" applyFont="1" applyBorder="1"/>
    <xf numFmtId="0" fontId="19" fillId="0" borderId="25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9" fillId="0" borderId="29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2" fontId="19" fillId="0" borderId="2" xfId="0" applyNumberFormat="1" applyFont="1" applyBorder="1" applyAlignment="1">
      <alignment horizontal="center"/>
    </xf>
    <xf numFmtId="2" fontId="19" fillId="0" borderId="28" xfId="0" applyNumberFormat="1" applyFont="1" applyBorder="1" applyAlignment="1">
      <alignment horizontal="center"/>
    </xf>
    <xf numFmtId="2" fontId="24" fillId="0" borderId="9" xfId="0" applyNumberFormat="1" applyFont="1" applyBorder="1" applyAlignment="1">
      <alignment horizontal="center"/>
    </xf>
    <xf numFmtId="1" fontId="39" fillId="13" borderId="9" xfId="0" applyNumberFormat="1" applyFont="1" applyFill="1" applyBorder="1" applyAlignment="1">
      <alignment horizontal="center"/>
    </xf>
    <xf numFmtId="2" fontId="39" fillId="13" borderId="9" xfId="0" applyNumberFormat="1" applyFont="1" applyFill="1" applyBorder="1" applyAlignment="1">
      <alignment horizontal="center"/>
    </xf>
    <xf numFmtId="0" fontId="39" fillId="13" borderId="9" xfId="0" applyFont="1" applyFill="1" applyBorder="1" applyAlignment="1">
      <alignment horizontal="center"/>
    </xf>
    <xf numFmtId="0" fontId="8" fillId="14" borderId="1" xfId="0" applyFont="1" applyFill="1" applyBorder="1"/>
    <xf numFmtId="0" fontId="9" fillId="14" borderId="1" xfId="0" applyFont="1" applyFill="1" applyBorder="1" applyAlignment="1">
      <alignment horizontal="center"/>
    </xf>
    <xf numFmtId="164" fontId="9" fillId="14" borderId="1" xfId="0" applyNumberFormat="1" applyFont="1" applyFill="1" applyBorder="1" applyAlignment="1">
      <alignment horizontal="center"/>
    </xf>
    <xf numFmtId="1" fontId="9" fillId="14" borderId="1" xfId="0" applyNumberFormat="1" applyFont="1" applyFill="1" applyBorder="1" applyAlignment="1">
      <alignment horizontal="center"/>
    </xf>
    <xf numFmtId="0" fontId="0" fillId="14" borderId="1" xfId="0" applyFill="1" applyBorder="1"/>
    <xf numFmtId="0" fontId="41" fillId="0" borderId="30" xfId="0" applyFont="1" applyBorder="1" applyAlignment="1">
      <alignment horizontal="center"/>
    </xf>
    <xf numFmtId="0" fontId="22" fillId="15" borderId="1" xfId="0" applyFont="1" applyFill="1" applyBorder="1" applyAlignment="1">
      <alignment horizontal="center"/>
    </xf>
    <xf numFmtId="2" fontId="22" fillId="15" borderId="1" xfId="0" applyNumberFormat="1" applyFont="1" applyFill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4" fillId="15" borderId="9" xfId="0" applyFont="1" applyFill="1" applyBorder="1" applyAlignment="1">
      <alignment horizontal="center"/>
    </xf>
    <xf numFmtId="0" fontId="24" fillId="16" borderId="9" xfId="0" applyFont="1" applyFill="1" applyBorder="1" applyAlignment="1">
      <alignment horizontal="center"/>
    </xf>
    <xf numFmtId="0" fontId="8" fillId="16" borderId="1" xfId="0" applyFont="1" applyFill="1" applyBorder="1"/>
    <xf numFmtId="1" fontId="9" fillId="16" borderId="1" xfId="0" applyNumberFormat="1" applyFont="1" applyFill="1" applyBorder="1" applyAlignment="1">
      <alignment horizontal="right"/>
    </xf>
    <xf numFmtId="0" fontId="9" fillId="16" borderId="1" xfId="0" applyFont="1" applyFill="1" applyBorder="1" applyAlignment="1">
      <alignment horizontal="right"/>
    </xf>
    <xf numFmtId="0" fontId="0" fillId="16" borderId="1" xfId="0" applyFill="1" applyBorder="1"/>
    <xf numFmtId="0" fontId="24" fillId="3" borderId="9" xfId="0" applyFon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24" fillId="17" borderId="9" xfId="0" applyFont="1" applyFill="1" applyBorder="1" applyAlignment="1">
      <alignment horizontal="center"/>
    </xf>
    <xf numFmtId="0" fontId="0" fillId="17" borderId="9" xfId="0" applyFill="1" applyBorder="1" applyAlignment="1">
      <alignment horizontal="center"/>
    </xf>
    <xf numFmtId="2" fontId="26" fillId="15" borderId="9" xfId="0" applyNumberFormat="1" applyFont="1" applyFill="1" applyBorder="1" applyAlignment="1">
      <alignment horizontal="center"/>
    </xf>
    <xf numFmtId="0" fontId="8" fillId="18" borderId="1" xfId="0" applyFont="1" applyFill="1" applyBorder="1"/>
    <xf numFmtId="1" fontId="9" fillId="18" borderId="1" xfId="0" applyNumberFormat="1" applyFont="1" applyFill="1" applyBorder="1" applyAlignment="1">
      <alignment horizontal="right"/>
    </xf>
    <xf numFmtId="0" fontId="8" fillId="10" borderId="1" xfId="0" applyFont="1" applyFill="1" applyBorder="1"/>
    <xf numFmtId="1" fontId="9" fillId="10" borderId="1" xfId="0" applyNumberFormat="1" applyFont="1" applyFill="1" applyBorder="1"/>
    <xf numFmtId="0" fontId="9" fillId="10" borderId="1" xfId="0" applyFont="1" applyFill="1" applyBorder="1" applyAlignment="1">
      <alignment horizontal="right"/>
    </xf>
    <xf numFmtId="9" fontId="9" fillId="10" borderId="1" xfId="2" applyFont="1" applyFill="1" applyBorder="1" applyAlignment="1">
      <alignment horizontal="right"/>
    </xf>
    <xf numFmtId="0" fontId="0" fillId="10" borderId="1" xfId="0" applyFill="1" applyBorder="1"/>
    <xf numFmtId="0" fontId="0" fillId="5" borderId="0" xfId="0" applyFill="1"/>
    <xf numFmtId="0" fontId="0" fillId="18" borderId="1" xfId="0" applyFill="1" applyBorder="1"/>
    <xf numFmtId="0" fontId="18" fillId="0" borderId="0" xfId="0" applyFont="1" applyAlignment="1">
      <alignment horizontal="left" vertical="center"/>
    </xf>
    <xf numFmtId="0" fontId="42" fillId="0" borderId="0" xfId="0" applyFont="1"/>
    <xf numFmtId="1" fontId="24" fillId="0" borderId="9" xfId="0" applyNumberFormat="1" applyFont="1" applyBorder="1" applyAlignment="1">
      <alignment horizontal="center"/>
    </xf>
    <xf numFmtId="0" fontId="0" fillId="19" borderId="9" xfId="0" applyFill="1" applyBorder="1" applyAlignment="1">
      <alignment horizontal="center" vertical="center"/>
    </xf>
    <xf numFmtId="2" fontId="0" fillId="19" borderId="9" xfId="0" applyNumberFormat="1" applyFill="1" applyBorder="1" applyAlignment="1">
      <alignment horizontal="center" vertical="center"/>
    </xf>
    <xf numFmtId="0" fontId="42" fillId="0" borderId="9" xfId="0" applyFont="1" applyBorder="1" applyAlignment="1">
      <alignment horizontal="center"/>
    </xf>
    <xf numFmtId="0" fontId="0" fillId="13" borderId="0" xfId="0" applyFill="1"/>
    <xf numFmtId="1" fontId="43" fillId="13" borderId="9" xfId="0" applyNumberFormat="1" applyFont="1" applyFill="1" applyBorder="1" applyAlignment="1">
      <alignment horizontal="center"/>
    </xf>
    <xf numFmtId="2" fontId="43" fillId="13" borderId="9" xfId="0" applyNumberFormat="1" applyFont="1" applyFill="1" applyBorder="1" applyAlignment="1">
      <alignment horizontal="center"/>
    </xf>
    <xf numFmtId="0" fontId="43" fillId="13" borderId="9" xfId="0" applyFont="1" applyFill="1" applyBorder="1" applyAlignment="1">
      <alignment horizontal="center"/>
    </xf>
    <xf numFmtId="2" fontId="44" fillId="13" borderId="9" xfId="0" applyNumberFormat="1" applyFont="1" applyFill="1" applyBorder="1" applyAlignment="1">
      <alignment horizontal="center"/>
    </xf>
    <xf numFmtId="0" fontId="44" fillId="13" borderId="0" xfId="0" applyFont="1" applyFill="1"/>
    <xf numFmtId="0" fontId="45" fillId="0" borderId="1" xfId="0" applyFont="1" applyBorder="1" applyAlignment="1">
      <alignment horizontal="center"/>
    </xf>
    <xf numFmtId="0" fontId="16" fillId="20" borderId="1" xfId="0" applyFont="1" applyFill="1" applyBorder="1" applyAlignment="1">
      <alignment horizontal="center" vertical="center"/>
    </xf>
    <xf numFmtId="0" fontId="16" fillId="20" borderId="1" xfId="0" applyFont="1" applyFill="1" applyBorder="1" applyAlignment="1">
      <alignment horizontal="center" vertical="center" wrapText="1"/>
    </xf>
    <xf numFmtId="2" fontId="38" fillId="13" borderId="9" xfId="0" applyNumberFormat="1" applyFont="1" applyFill="1" applyBorder="1" applyAlignment="1">
      <alignment horizontal="center"/>
    </xf>
    <xf numFmtId="0" fontId="38" fillId="13" borderId="9" xfId="0" applyFont="1" applyFill="1" applyBorder="1" applyAlignment="1">
      <alignment horizontal="center"/>
    </xf>
    <xf numFmtId="1" fontId="38" fillId="13" borderId="9" xfId="0" applyNumberFormat="1" applyFont="1" applyFill="1" applyBorder="1" applyAlignment="1">
      <alignment horizontal="center"/>
    </xf>
    <xf numFmtId="0" fontId="38" fillId="13" borderId="0" xfId="0" applyFont="1" applyFill="1"/>
    <xf numFmtId="0" fontId="43" fillId="13" borderId="0" xfId="0" applyFont="1" applyFill="1"/>
    <xf numFmtId="0" fontId="44" fillId="13" borderId="9" xfId="0" applyFont="1" applyFill="1" applyBorder="1" applyAlignment="1">
      <alignment horizontal="center"/>
    </xf>
    <xf numFmtId="1" fontId="44" fillId="13" borderId="9" xfId="0" applyNumberFormat="1" applyFont="1" applyFill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39" fillId="13" borderId="9" xfId="0" applyNumberFormat="1" applyFont="1" applyFill="1" applyBorder="1" applyAlignment="1">
      <alignment horizontal="center"/>
    </xf>
    <xf numFmtId="165" fontId="38" fillId="13" borderId="9" xfId="0" applyNumberFormat="1" applyFont="1" applyFill="1" applyBorder="1" applyAlignment="1">
      <alignment horizontal="center"/>
    </xf>
    <xf numFmtId="165" fontId="43" fillId="13" borderId="9" xfId="0" applyNumberFormat="1" applyFont="1" applyFill="1" applyBorder="1" applyAlignment="1">
      <alignment horizontal="center"/>
    </xf>
    <xf numFmtId="165" fontId="0" fillId="13" borderId="9" xfId="0" applyNumberFormat="1" applyFill="1" applyBorder="1" applyAlignment="1">
      <alignment horizontal="center"/>
    </xf>
    <xf numFmtId="0" fontId="0" fillId="0" borderId="9" xfId="0" applyBorder="1" applyAlignment="1">
      <alignment wrapText="1"/>
    </xf>
    <xf numFmtId="1" fontId="48" fillId="3" borderId="9" xfId="0" applyNumberFormat="1" applyFont="1" applyFill="1" applyBorder="1" applyAlignment="1">
      <alignment horizontal="center"/>
    </xf>
    <xf numFmtId="2" fontId="48" fillId="3" borderId="9" xfId="0" applyNumberFormat="1" applyFont="1" applyFill="1" applyBorder="1" applyAlignment="1">
      <alignment horizontal="center"/>
    </xf>
    <xf numFmtId="0" fontId="49" fillId="3" borderId="9" xfId="0" applyFont="1" applyFill="1" applyBorder="1" applyAlignment="1">
      <alignment horizontal="center"/>
    </xf>
    <xf numFmtId="0" fontId="48" fillId="3" borderId="9" xfId="0" applyFont="1" applyFill="1" applyBorder="1" applyAlignment="1">
      <alignment horizontal="center"/>
    </xf>
    <xf numFmtId="165" fontId="48" fillId="3" borderId="9" xfId="0" applyNumberFormat="1" applyFont="1" applyFill="1" applyBorder="1" applyAlignment="1">
      <alignment horizontal="center"/>
    </xf>
    <xf numFmtId="2" fontId="49" fillId="3" borderId="9" xfId="0" applyNumberFormat="1" applyFont="1" applyFill="1" applyBorder="1" applyAlignment="1">
      <alignment horizontal="center"/>
    </xf>
    <xf numFmtId="1" fontId="49" fillId="3" borderId="9" xfId="0" applyNumberFormat="1" applyFont="1" applyFill="1" applyBorder="1" applyAlignment="1">
      <alignment horizontal="center"/>
    </xf>
    <xf numFmtId="0" fontId="49" fillId="3" borderId="0" xfId="0" applyFont="1" applyFill="1"/>
    <xf numFmtId="0" fontId="0" fillId="5" borderId="9" xfId="0" applyFill="1" applyBorder="1" applyAlignment="1">
      <alignment horizontal="center"/>
    </xf>
    <xf numFmtId="0" fontId="19" fillId="11" borderId="1" xfId="0" applyFont="1" applyFill="1" applyBorder="1" applyAlignment="1">
      <alignment horizontal="center" vertical="center"/>
    </xf>
    <xf numFmtId="0" fontId="0" fillId="11" borderId="0" xfId="0" applyFill="1"/>
    <xf numFmtId="0" fontId="51" fillId="11" borderId="0" xfId="0" applyFont="1" applyFill="1"/>
    <xf numFmtId="0" fontId="1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1" borderId="1" xfId="0" applyFill="1" applyBorder="1" applyAlignment="1">
      <alignment horizontal="center" vertical="center" wrapText="1"/>
    </xf>
    <xf numFmtId="0" fontId="0" fillId="22" borderId="1" xfId="0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/>
    </xf>
    <xf numFmtId="0" fontId="0" fillId="23" borderId="1" xfId="0" applyFill="1" applyBorder="1"/>
    <xf numFmtId="0" fontId="53" fillId="0" borderId="0" xfId="0" applyFont="1" applyAlignment="1">
      <alignment horizontal="left"/>
    </xf>
    <xf numFmtId="0" fontId="0" fillId="24" borderId="1" xfId="0" applyFill="1" applyBorder="1"/>
    <xf numFmtId="0" fontId="0" fillId="25" borderId="1" xfId="0" applyFill="1" applyBorder="1"/>
    <xf numFmtId="0" fontId="0" fillId="21" borderId="0" xfId="0" applyFill="1"/>
    <xf numFmtId="0" fontId="0" fillId="21" borderId="1" xfId="0" applyFill="1" applyBorder="1"/>
    <xf numFmtId="0" fontId="0" fillId="19" borderId="0" xfId="0" applyFill="1"/>
    <xf numFmtId="0" fontId="0" fillId="19" borderId="1" xfId="0" applyFill="1" applyBorder="1"/>
    <xf numFmtId="0" fontId="18" fillId="15" borderId="1" xfId="0" applyFont="1" applyFill="1" applyBorder="1"/>
    <xf numFmtId="0" fontId="18" fillId="5" borderId="0" xfId="0" applyFont="1" applyFill="1"/>
    <xf numFmtId="0" fontId="0" fillId="26" borderId="1" xfId="0" applyFill="1" applyBorder="1"/>
    <xf numFmtId="0" fontId="55" fillId="0" borderId="0" xfId="0" applyFont="1"/>
    <xf numFmtId="0" fontId="53" fillId="0" borderId="0" xfId="0" applyFont="1" applyAlignment="1">
      <alignment horizontal="center"/>
    </xf>
    <xf numFmtId="0" fontId="52" fillId="0" borderId="0" xfId="0" applyFont="1"/>
    <xf numFmtId="0" fontId="50" fillId="0" borderId="1" xfId="0" applyFont="1" applyBorder="1" applyAlignment="1">
      <alignment horizontal="center" vertical="center" wrapText="1"/>
    </xf>
    <xf numFmtId="165" fontId="0" fillId="0" borderId="1" xfId="0" applyNumberFormat="1" applyBorder="1"/>
    <xf numFmtId="0" fontId="50" fillId="24" borderId="1" xfId="0" applyFont="1" applyFill="1" applyBorder="1" applyAlignment="1">
      <alignment horizontal="center" vertical="center" wrapText="1"/>
    </xf>
    <xf numFmtId="0" fontId="50" fillId="25" borderId="1" xfId="0" applyFont="1" applyFill="1" applyBorder="1" applyAlignment="1">
      <alignment horizontal="center" vertical="center" wrapText="1"/>
    </xf>
    <xf numFmtId="0" fontId="50" fillId="19" borderId="1" xfId="0" applyFont="1" applyFill="1" applyBorder="1" applyAlignment="1">
      <alignment horizontal="center" vertical="center" wrapText="1"/>
    </xf>
    <xf numFmtId="0" fontId="0" fillId="21" borderId="31" xfId="0" applyFill="1" applyBorder="1" applyAlignment="1">
      <alignment horizontal="center" vertical="center" wrapText="1"/>
    </xf>
    <xf numFmtId="0" fontId="0" fillId="22" borderId="0" xfId="0" applyFill="1"/>
    <xf numFmtId="0" fontId="50" fillId="19" borderId="2" xfId="0" applyFont="1" applyFill="1" applyBorder="1" applyAlignment="1">
      <alignment horizontal="center" vertical="center" wrapText="1"/>
    </xf>
    <xf numFmtId="0" fontId="50" fillId="27" borderId="1" xfId="0" applyFont="1" applyFill="1" applyBorder="1" applyAlignment="1">
      <alignment horizontal="center" vertical="center" wrapText="1"/>
    </xf>
    <xf numFmtId="0" fontId="50" fillId="3" borderId="1" xfId="0" applyFont="1" applyFill="1" applyBorder="1" applyAlignment="1">
      <alignment horizontal="center" vertical="center" wrapText="1"/>
    </xf>
    <xf numFmtId="0" fontId="50" fillId="28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32" xfId="0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32" xfId="0" applyFill="1" applyBorder="1" applyAlignment="1">
      <alignment horizontal="center"/>
    </xf>
    <xf numFmtId="0" fontId="56" fillId="0" borderId="0" xfId="0" applyFont="1"/>
    <xf numFmtId="0" fontId="3" fillId="3" borderId="1" xfId="0" applyFont="1" applyFill="1" applyBorder="1" applyAlignment="1">
      <alignment horizontal="center"/>
    </xf>
    <xf numFmtId="0" fontId="19" fillId="15" borderId="1" xfId="0" applyFont="1" applyFill="1" applyBorder="1" applyAlignment="1">
      <alignment horizontal="center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3" fillId="3" borderId="22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22" fillId="15" borderId="1" xfId="0" applyFont="1" applyFill="1" applyBorder="1" applyAlignment="1">
      <alignment horizontal="center"/>
    </xf>
    <xf numFmtId="0" fontId="20" fillId="0" borderId="7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28" fillId="8" borderId="9" xfId="3" applyFont="1" applyBorder="1" applyAlignment="1">
      <alignment horizontal="center" vertical="center"/>
    </xf>
    <xf numFmtId="0" fontId="24" fillId="0" borderId="9" xfId="0" applyFont="1" applyBorder="1" applyAlignment="1">
      <alignment horizontal="center"/>
    </xf>
    <xf numFmtId="0" fontId="28" fillId="8" borderId="14" xfId="3" applyFont="1" applyBorder="1" applyAlignment="1">
      <alignment horizontal="center" vertical="center"/>
    </xf>
    <xf numFmtId="0" fontId="28" fillId="8" borderId="13" xfId="3" applyFont="1" applyBorder="1" applyAlignment="1">
      <alignment horizontal="center" vertical="center"/>
    </xf>
    <xf numFmtId="0" fontId="28" fillId="8" borderId="15" xfId="3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4" fillId="10" borderId="9" xfId="0" applyFont="1" applyFill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28" fillId="8" borderId="10" xfId="3" applyFont="1" applyBorder="1" applyAlignment="1">
      <alignment horizontal="center" vertical="center"/>
    </xf>
    <xf numFmtId="0" fontId="28" fillId="8" borderId="11" xfId="3" applyFont="1" applyBorder="1" applyAlignment="1">
      <alignment horizontal="center" vertical="center"/>
    </xf>
    <xf numFmtId="0" fontId="28" fillId="8" borderId="12" xfId="3" applyFont="1" applyBorder="1" applyAlignment="1">
      <alignment horizontal="center" vertical="center"/>
    </xf>
    <xf numFmtId="0" fontId="32" fillId="11" borderId="9" xfId="0" applyFont="1" applyFill="1" applyBorder="1" applyAlignment="1">
      <alignment horizontal="center"/>
    </xf>
    <xf numFmtId="0" fontId="30" fillId="12" borderId="20" xfId="0" applyFont="1" applyFill="1" applyBorder="1" applyAlignment="1">
      <alignment horizontal="center"/>
    </xf>
    <xf numFmtId="0" fontId="30" fillId="12" borderId="0" xfId="0" applyFont="1" applyFill="1" applyAlignment="1">
      <alignment horizontal="center"/>
    </xf>
    <xf numFmtId="0" fontId="47" fillId="12" borderId="20" xfId="0" applyFont="1" applyFill="1" applyBorder="1" applyAlignment="1">
      <alignment horizontal="center"/>
    </xf>
    <xf numFmtId="0" fontId="47" fillId="12" borderId="0" xfId="0" applyFont="1" applyFill="1" applyAlignment="1">
      <alignment horizontal="center"/>
    </xf>
    <xf numFmtId="0" fontId="0" fillId="12" borderId="10" xfId="0" applyFill="1" applyBorder="1" applyAlignment="1">
      <alignment horizontal="center" vertical="center"/>
    </xf>
    <xf numFmtId="0" fontId="0" fillId="12" borderId="11" xfId="0" applyFill="1" applyBorder="1" applyAlignment="1">
      <alignment horizontal="center" vertical="center"/>
    </xf>
    <xf numFmtId="0" fontId="0" fillId="12" borderId="12" xfId="0" applyFill="1" applyBorder="1" applyAlignment="1">
      <alignment horizontal="center" vertical="center"/>
    </xf>
    <xf numFmtId="0" fontId="47" fillId="12" borderId="9" xfId="0" applyFont="1" applyFill="1" applyBorder="1" applyAlignment="1">
      <alignment horizontal="center"/>
    </xf>
    <xf numFmtId="0" fontId="46" fillId="12" borderId="9" xfId="0" applyFont="1" applyFill="1" applyBorder="1" applyAlignment="1">
      <alignment horizontal="center"/>
    </xf>
    <xf numFmtId="0" fontId="18" fillId="0" borderId="0" xfId="0" applyFont="1" applyAlignment="1">
      <alignment horizontal="left" vertical="center"/>
    </xf>
    <xf numFmtId="0" fontId="0" fillId="12" borderId="9" xfId="0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9" xfId="0" applyBorder="1" applyAlignment="1">
      <alignment horizontal="center"/>
    </xf>
    <xf numFmtId="0" fontId="17" fillId="0" borderId="0" xfId="0" applyFont="1" applyAlignment="1">
      <alignment horizontal="center"/>
    </xf>
    <xf numFmtId="0" fontId="0" fillId="6" borderId="4" xfId="0" applyFill="1" applyBorder="1" applyAlignment="1">
      <alignment horizontal="center"/>
    </xf>
    <xf numFmtId="0" fontId="13" fillId="3" borderId="1" xfId="0" applyFont="1" applyFill="1" applyBorder="1"/>
    <xf numFmtId="0" fontId="9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9" fillId="3" borderId="1" xfId="0" applyFont="1" applyFill="1" applyBorder="1" applyAlignment="1">
      <alignment horizontal="right"/>
    </xf>
    <xf numFmtId="0" fontId="0" fillId="3" borderId="1" xfId="0" applyFill="1" applyBorder="1"/>
    <xf numFmtId="0" fontId="0" fillId="0" borderId="0" xfId="0" applyBorder="1" applyAlignment="1">
      <alignment horizontal="center"/>
    </xf>
    <xf numFmtId="0" fontId="22" fillId="0" borderId="0" xfId="0" applyFont="1"/>
    <xf numFmtId="0" fontId="58" fillId="0" borderId="0" xfId="0" applyFont="1"/>
    <xf numFmtId="0" fontId="60" fillId="0" borderId="0" xfId="0" applyFont="1"/>
    <xf numFmtId="0" fontId="61" fillId="0" borderId="0" xfId="0" applyFont="1"/>
    <xf numFmtId="0" fontId="59" fillId="0" borderId="1" xfId="0" applyFont="1" applyBorder="1"/>
    <xf numFmtId="0" fontId="62" fillId="0" borderId="1" xfId="0" applyFont="1" applyBorder="1" applyAlignment="1">
      <alignment horizontal="center"/>
    </xf>
    <xf numFmtId="0" fontId="50" fillId="21" borderId="1" xfId="0" applyFont="1" applyFill="1" applyBorder="1" applyAlignment="1">
      <alignment horizontal="center" vertical="center" wrapText="1"/>
    </xf>
    <xf numFmtId="2" fontId="0" fillId="21" borderId="1" xfId="0" applyNumberFormat="1" applyFill="1" applyBorder="1"/>
    <xf numFmtId="2" fontId="54" fillId="21" borderId="1" xfId="0" applyNumberFormat="1" applyFont="1" applyFill="1" applyBorder="1"/>
    <xf numFmtId="0" fontId="60" fillId="21" borderId="0" xfId="0" applyFont="1" applyFill="1"/>
    <xf numFmtId="0" fontId="50" fillId="22" borderId="1" xfId="0" applyFont="1" applyFill="1" applyBorder="1" applyAlignment="1">
      <alignment horizontal="center" vertical="center" wrapText="1"/>
    </xf>
    <xf numFmtId="0" fontId="0" fillId="22" borderId="1" xfId="0" applyFill="1" applyBorder="1"/>
    <xf numFmtId="0" fontId="54" fillId="22" borderId="1" xfId="0" applyFont="1" applyFill="1" applyBorder="1"/>
    <xf numFmtId="0" fontId="60" fillId="22" borderId="0" xfId="0" applyFont="1" applyFill="1"/>
  </cellXfs>
  <cellStyles count="4">
    <cellStyle name="20% - Έμφαση1" xfId="1" builtinId="30"/>
    <cellStyle name="Κακό" xfId="3" builtinId="27"/>
    <cellStyle name="Κανονικό" xfId="0" builtinId="0"/>
    <cellStyle name="Ποσοστό" xfId="2" builtinId="5"/>
  </cellStyles>
  <dxfs count="1">
    <dxf>
      <fill>
        <patternFill patternType="gray0625">
          <fgColor theme="7" tint="0.79998168889431442"/>
          <bgColor theme="0" tint="-0.14996795556505021"/>
        </patternFill>
      </fill>
    </dxf>
  </dxfs>
  <tableStyles count="1" defaultTableStyle="TableStyleMedium2" defaultPivotStyle="PivotStyleLight16">
    <tableStyle name="Στυλ πίνακα 1" pivot="0" count="1" xr9:uid="{B4460203-DA43-4877-8423-4A26E30D9CD1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10296</xdr:colOff>
      <xdr:row>12</xdr:row>
      <xdr:rowOff>39584</xdr:rowOff>
    </xdr:from>
    <xdr:to>
      <xdr:col>17</xdr:col>
      <xdr:colOff>3195</xdr:colOff>
      <xdr:row>23</xdr:row>
      <xdr:rowOff>65689</xdr:rowOff>
    </xdr:to>
    <xdr:sp macro="" textlink="">
      <xdr:nvSpPr>
        <xdr:cNvPr id="2" name="Οβάλ 1">
          <a:extLst>
            <a:ext uri="{FF2B5EF4-FFF2-40B4-BE49-F238E27FC236}">
              <a16:creationId xmlns:a16="http://schemas.microsoft.com/office/drawing/2014/main" id="{ACC48708-3516-2A3A-2870-CAF6E44B2652}"/>
            </a:ext>
          </a:extLst>
        </xdr:cNvPr>
        <xdr:cNvSpPr/>
      </xdr:nvSpPr>
      <xdr:spPr>
        <a:xfrm>
          <a:off x="24028140" y="2879766"/>
          <a:ext cx="3377367" cy="2470442"/>
        </a:xfrm>
        <a:prstGeom prst="ellipse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l-GR" sz="1800" b="0" cap="none" spc="0">
              <a:ln w="0"/>
              <a:solidFill>
                <a:schemeClr val="tx1">
                  <a:lumMod val="85000"/>
                  <a:lumOff val="15000"/>
                </a:schemeClr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    </a:t>
          </a:r>
          <a:r>
            <a:rPr lang="en-US" sz="1800" b="0" cap="none" spc="0">
              <a:ln w="0"/>
              <a:solidFill>
                <a:schemeClr val="tx1">
                  <a:lumMod val="85000"/>
                  <a:lumOff val="15000"/>
                </a:schemeClr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   </a:t>
          </a:r>
          <a:r>
            <a:rPr lang="el-GR" sz="1800" b="0" cap="none" spc="0">
              <a:ln w="0"/>
              <a:solidFill>
                <a:schemeClr val="tx1">
                  <a:lumMod val="85000"/>
                  <a:lumOff val="15000"/>
                </a:schemeClr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ΣΕΝΑΡΙΟ</a:t>
          </a:r>
          <a:r>
            <a:rPr lang="el-GR" sz="1800" b="0" cap="none" spc="0" baseline="0">
              <a:ln w="0"/>
              <a:solidFill>
                <a:schemeClr val="tx1">
                  <a:lumMod val="85000"/>
                  <a:lumOff val="15000"/>
                </a:schemeClr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Α</a:t>
          </a:r>
          <a:endParaRPr lang="en-US" sz="1800" b="0" cap="none" spc="0">
            <a:ln w="0"/>
            <a:solidFill>
              <a:schemeClr val="tx1">
                <a:lumMod val="85000"/>
                <a:lumOff val="15000"/>
              </a:schemeClr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twoCellAnchor>
  <xdr:twoCellAnchor>
    <xdr:from>
      <xdr:col>17</xdr:col>
      <xdr:colOff>26276</xdr:colOff>
      <xdr:row>11</xdr:row>
      <xdr:rowOff>168234</xdr:rowOff>
    </xdr:from>
    <xdr:to>
      <xdr:col>18</xdr:col>
      <xdr:colOff>41190</xdr:colOff>
      <xdr:row>22</xdr:row>
      <xdr:rowOff>131379</xdr:rowOff>
    </xdr:to>
    <xdr:sp macro="" textlink="">
      <xdr:nvSpPr>
        <xdr:cNvPr id="3" name="Ορθογώνιο 2">
          <a:extLst>
            <a:ext uri="{FF2B5EF4-FFF2-40B4-BE49-F238E27FC236}">
              <a16:creationId xmlns:a16="http://schemas.microsoft.com/office/drawing/2014/main" id="{CDF9D02E-A02B-5D14-E5F0-6D526ED1ABE4}"/>
            </a:ext>
          </a:extLst>
        </xdr:cNvPr>
        <xdr:cNvSpPr/>
      </xdr:nvSpPr>
      <xdr:spPr>
        <a:xfrm>
          <a:off x="27280146" y="2770909"/>
          <a:ext cx="628473" cy="2466860"/>
        </a:xfrm>
        <a:prstGeom prst="rect">
          <a:avLst/>
        </a:prstGeom>
        <a:solidFill>
          <a:schemeClr val="accent5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l-GR" sz="1100">
              <a:solidFill>
                <a:schemeClr val="tx1"/>
              </a:solidFill>
            </a:rPr>
            <a:t>ΣΕΝΑΡΙΟ</a:t>
          </a:r>
          <a:r>
            <a:rPr lang="el-GR" sz="1100" baseline="0">
              <a:solidFill>
                <a:schemeClr val="tx1"/>
              </a:solidFill>
            </a:rPr>
            <a:t> Β </a:t>
          </a:r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678180</xdr:colOff>
      <xdr:row>2</xdr:row>
      <xdr:rowOff>182880</xdr:rowOff>
    </xdr:from>
    <xdr:to>
      <xdr:col>2</xdr:col>
      <xdr:colOff>1059180</xdr:colOff>
      <xdr:row>5</xdr:row>
      <xdr:rowOff>45720</xdr:rowOff>
    </xdr:to>
    <xdr:sp macro="" textlink="">
      <xdr:nvSpPr>
        <xdr:cNvPr id="2" name="Σύμβολο πολλαπλασιασμού 1">
          <a:extLst>
            <a:ext uri="{FF2B5EF4-FFF2-40B4-BE49-F238E27FC236}">
              <a16:creationId xmlns:a16="http://schemas.microsoft.com/office/drawing/2014/main" id="{40E09ADE-1336-C949-E242-2B3B86BB08DF}"/>
            </a:ext>
          </a:extLst>
        </xdr:cNvPr>
        <xdr:cNvSpPr/>
      </xdr:nvSpPr>
      <xdr:spPr>
        <a:xfrm>
          <a:off x="5113020" y="563880"/>
          <a:ext cx="381000" cy="243840"/>
        </a:xfrm>
        <a:prstGeom prst="mathMultiply">
          <a:avLst/>
        </a:prstGeom>
        <a:solidFill>
          <a:schemeClr val="accent4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685800</xdr:colOff>
      <xdr:row>4</xdr:row>
      <xdr:rowOff>182880</xdr:rowOff>
    </xdr:from>
    <xdr:to>
      <xdr:col>2</xdr:col>
      <xdr:colOff>1066800</xdr:colOff>
      <xdr:row>6</xdr:row>
      <xdr:rowOff>38100</xdr:rowOff>
    </xdr:to>
    <xdr:sp macro="" textlink="">
      <xdr:nvSpPr>
        <xdr:cNvPr id="3" name="Σύμβολο πολλαπλασιασμού 2">
          <a:extLst>
            <a:ext uri="{FF2B5EF4-FFF2-40B4-BE49-F238E27FC236}">
              <a16:creationId xmlns:a16="http://schemas.microsoft.com/office/drawing/2014/main" id="{4B994C3B-B0C7-4051-9ADD-4F45489AB1F1}"/>
            </a:ext>
          </a:extLst>
        </xdr:cNvPr>
        <xdr:cNvSpPr/>
      </xdr:nvSpPr>
      <xdr:spPr>
        <a:xfrm>
          <a:off x="5120640" y="754380"/>
          <a:ext cx="381000" cy="236220"/>
        </a:xfrm>
        <a:prstGeom prst="mathMultiply">
          <a:avLst/>
        </a:prstGeom>
        <a:solidFill>
          <a:schemeClr val="accent4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304800</xdr:colOff>
      <xdr:row>11</xdr:row>
      <xdr:rowOff>45720</xdr:rowOff>
    </xdr:from>
    <xdr:to>
      <xdr:col>11</xdr:col>
      <xdr:colOff>312420</xdr:colOff>
      <xdr:row>14</xdr:row>
      <xdr:rowOff>144780</xdr:rowOff>
    </xdr:to>
    <xdr:cxnSp macro="">
      <xdr:nvCxnSpPr>
        <xdr:cNvPr id="5" name="Ευθύγραμμο βέλος σύνδεσης 4">
          <a:extLst>
            <a:ext uri="{FF2B5EF4-FFF2-40B4-BE49-F238E27FC236}">
              <a16:creationId xmlns:a16="http://schemas.microsoft.com/office/drawing/2014/main" id="{944A13BA-1F3C-2DC2-A802-2A129234D2EE}"/>
            </a:ext>
          </a:extLst>
        </xdr:cNvPr>
        <xdr:cNvCxnSpPr/>
      </xdr:nvCxnSpPr>
      <xdr:spPr>
        <a:xfrm>
          <a:off x="20642580" y="1950720"/>
          <a:ext cx="7620" cy="66294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595563</xdr:colOff>
      <xdr:row>5</xdr:row>
      <xdr:rowOff>162828</xdr:rowOff>
    </xdr:from>
    <xdr:to>
      <xdr:col>3</xdr:col>
      <xdr:colOff>976563</xdr:colOff>
      <xdr:row>7</xdr:row>
      <xdr:rowOff>18048</xdr:rowOff>
    </xdr:to>
    <xdr:sp macro="" textlink="">
      <xdr:nvSpPr>
        <xdr:cNvPr id="6" name="Σύμβολο πολλαπλασιασμού 5">
          <a:extLst>
            <a:ext uri="{FF2B5EF4-FFF2-40B4-BE49-F238E27FC236}">
              <a16:creationId xmlns:a16="http://schemas.microsoft.com/office/drawing/2014/main" id="{CBDED959-23B1-4332-8880-596B231CD739}"/>
            </a:ext>
          </a:extLst>
        </xdr:cNvPr>
        <xdr:cNvSpPr/>
      </xdr:nvSpPr>
      <xdr:spPr>
        <a:xfrm>
          <a:off x="6340642" y="944881"/>
          <a:ext cx="381000" cy="236220"/>
        </a:xfrm>
        <a:prstGeom prst="mathMultiply">
          <a:avLst/>
        </a:prstGeom>
        <a:solidFill>
          <a:schemeClr val="accent4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16</xdr:col>
      <xdr:colOff>1004681</xdr:colOff>
      <xdr:row>47</xdr:row>
      <xdr:rowOff>56643</xdr:rowOff>
    </xdr:from>
    <xdr:to>
      <xdr:col>20</xdr:col>
      <xdr:colOff>168603</xdr:colOff>
      <xdr:row>70</xdr:row>
      <xdr:rowOff>19831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id="{089237DE-761A-5BDB-A91D-493EB5E27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93395" y="10289214"/>
          <a:ext cx="3252869" cy="44331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193523</xdr:colOff>
      <xdr:row>11</xdr:row>
      <xdr:rowOff>181429</xdr:rowOff>
    </xdr:from>
    <xdr:to>
      <xdr:col>5</xdr:col>
      <xdr:colOff>1116351</xdr:colOff>
      <xdr:row>22</xdr:row>
      <xdr:rowOff>387048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0797D823-5B4A-4240-ACDB-D85B56D3C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523" y="5067905"/>
          <a:ext cx="5954447" cy="49106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330680</xdr:colOff>
      <xdr:row>9</xdr:row>
      <xdr:rowOff>172529</xdr:rowOff>
    </xdr:from>
    <xdr:to>
      <xdr:col>24</xdr:col>
      <xdr:colOff>501118</xdr:colOff>
      <xdr:row>46</xdr:row>
      <xdr:rowOff>87302</xdr:rowOff>
    </xdr:to>
    <xdr:pic>
      <xdr:nvPicPr>
        <xdr:cNvPr id="3" name="Εικόνα 2">
          <a:extLst>
            <a:ext uri="{FF2B5EF4-FFF2-40B4-BE49-F238E27FC236}">
              <a16:creationId xmlns:a16="http://schemas.microsoft.com/office/drawing/2014/main" id="{B59045E6-FC05-0B15-B2AF-6C955A054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79812" y="2587925"/>
          <a:ext cx="8020476" cy="6902169"/>
        </a:xfrm>
        <a:prstGeom prst="rect">
          <a:avLst/>
        </a:prstGeom>
      </xdr:spPr>
    </xdr:pic>
    <xdr:clientData/>
  </xdr:twoCellAnchor>
  <xdr:twoCellAnchor editAs="oneCell">
    <xdr:from>
      <xdr:col>26</xdr:col>
      <xdr:colOff>545832</xdr:colOff>
      <xdr:row>3</xdr:row>
      <xdr:rowOff>57509</xdr:rowOff>
    </xdr:from>
    <xdr:to>
      <xdr:col>35</xdr:col>
      <xdr:colOff>227089</xdr:colOff>
      <xdr:row>37</xdr:row>
      <xdr:rowOff>24449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id="{F4D1A080-D6AC-A6C3-182E-2DF04B1A6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552700" y="1351471"/>
          <a:ext cx="5115898" cy="63936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501041</xdr:colOff>
      <xdr:row>3</xdr:row>
      <xdr:rowOff>375781</xdr:rowOff>
    </xdr:from>
    <xdr:to>
      <xdr:col>23</xdr:col>
      <xdr:colOff>202330</xdr:colOff>
      <xdr:row>31</xdr:row>
      <xdr:rowOff>155451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B9E55EE6-F798-30DE-E3CA-F747A57BE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51288" y="949891"/>
          <a:ext cx="5150110" cy="55833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6"/>
  <sheetViews>
    <sheetView topLeftCell="A14" zoomScale="73" zoomScaleNormal="76" workbookViewId="0">
      <selection activeCell="I40" sqref="I40"/>
    </sheetView>
  </sheetViews>
  <sheetFormatPr defaultRowHeight="18" x14ac:dyDescent="0.35"/>
  <cols>
    <col min="1" max="1" width="92.6640625" style="3" bestFit="1" customWidth="1"/>
    <col min="2" max="2" width="10.109375" style="1" bestFit="1" customWidth="1"/>
    <col min="3" max="11" width="8.33203125" style="1" bestFit="1" customWidth="1"/>
    <col min="12" max="21" width="8.33203125" bestFit="1" customWidth="1"/>
    <col min="22" max="31" width="8.33203125" style="1" bestFit="1" customWidth="1"/>
    <col min="32" max="51" width="8.33203125" bestFit="1" customWidth="1"/>
  </cols>
  <sheetData>
    <row r="1" spans="1:31" x14ac:dyDescent="0.35">
      <c r="A1" s="203" t="s">
        <v>58</v>
      </c>
      <c r="B1" s="203"/>
    </row>
    <row r="2" spans="1:31" s="4" customFormat="1" ht="75.599999999999994" x14ac:dyDescent="0.3">
      <c r="A2" s="5"/>
      <c r="B2" s="11" t="s">
        <v>6</v>
      </c>
    </row>
    <row r="3" spans="1:31" ht="17.399999999999999" x14ac:dyDescent="0.3">
      <c r="A3" s="90" t="s">
        <v>0</v>
      </c>
      <c r="B3" s="91">
        <v>5027</v>
      </c>
      <c r="C3"/>
      <c r="D3"/>
      <c r="E3"/>
      <c r="F3"/>
      <c r="G3"/>
      <c r="H3"/>
      <c r="I3"/>
      <c r="J3"/>
      <c r="K3"/>
      <c r="V3"/>
      <c r="W3"/>
      <c r="X3"/>
      <c r="Y3"/>
      <c r="Z3"/>
      <c r="AA3"/>
      <c r="AB3"/>
      <c r="AC3"/>
      <c r="AD3"/>
      <c r="AE3"/>
    </row>
    <row r="4" spans="1:31" ht="17.399999999999999" x14ac:dyDescent="0.3">
      <c r="A4" s="90" t="s">
        <v>8</v>
      </c>
      <c r="B4" s="91">
        <v>2400</v>
      </c>
      <c r="C4"/>
      <c r="D4"/>
      <c r="E4"/>
      <c r="F4"/>
      <c r="G4"/>
      <c r="H4"/>
      <c r="I4"/>
      <c r="J4"/>
      <c r="K4"/>
      <c r="V4"/>
      <c r="W4"/>
      <c r="X4"/>
      <c r="Y4"/>
      <c r="Z4"/>
      <c r="AA4"/>
      <c r="AB4"/>
      <c r="AC4"/>
      <c r="AD4"/>
      <c r="AE4"/>
    </row>
    <row r="5" spans="1:31" ht="17.399999999999999" x14ac:dyDescent="0.3">
      <c r="A5" s="90" t="s">
        <v>1</v>
      </c>
      <c r="B5" s="92">
        <v>0.9</v>
      </c>
      <c r="C5"/>
      <c r="D5"/>
      <c r="E5"/>
      <c r="F5"/>
      <c r="G5"/>
      <c r="H5"/>
      <c r="I5"/>
      <c r="J5"/>
      <c r="K5"/>
      <c r="V5"/>
      <c r="W5"/>
      <c r="X5"/>
      <c r="Y5"/>
      <c r="Z5"/>
      <c r="AA5"/>
      <c r="AB5"/>
      <c r="AC5"/>
      <c r="AD5"/>
      <c r="AE5"/>
    </row>
    <row r="6" spans="1:31" ht="17.399999999999999" x14ac:dyDescent="0.3">
      <c r="A6" s="90" t="s">
        <v>9</v>
      </c>
      <c r="B6" s="91">
        <v>5</v>
      </c>
      <c r="C6"/>
      <c r="D6"/>
      <c r="E6"/>
      <c r="F6"/>
      <c r="G6"/>
      <c r="H6"/>
      <c r="I6"/>
      <c r="J6"/>
      <c r="K6"/>
      <c r="V6"/>
      <c r="W6"/>
      <c r="X6"/>
      <c r="Y6"/>
      <c r="Z6"/>
      <c r="AA6"/>
      <c r="AB6"/>
      <c r="AC6"/>
      <c r="AD6"/>
      <c r="AE6"/>
    </row>
    <row r="7" spans="1:31" ht="17.399999999999999" x14ac:dyDescent="0.3">
      <c r="A7" s="90" t="s">
        <v>10</v>
      </c>
      <c r="B7" s="91">
        <v>300</v>
      </c>
      <c r="C7"/>
      <c r="D7"/>
      <c r="E7"/>
      <c r="F7"/>
      <c r="G7"/>
      <c r="H7"/>
      <c r="I7"/>
      <c r="J7"/>
      <c r="K7"/>
      <c r="V7"/>
      <c r="W7"/>
      <c r="X7"/>
      <c r="Y7"/>
      <c r="Z7"/>
      <c r="AA7"/>
      <c r="AB7"/>
      <c r="AC7"/>
      <c r="AD7"/>
      <c r="AE7"/>
    </row>
    <row r="8" spans="1:31" ht="17.399999999999999" x14ac:dyDescent="0.3">
      <c r="A8" s="90" t="s">
        <v>11</v>
      </c>
      <c r="B8" s="91">
        <v>3</v>
      </c>
      <c r="C8"/>
      <c r="D8"/>
      <c r="E8"/>
      <c r="F8"/>
      <c r="G8"/>
      <c r="H8"/>
      <c r="I8"/>
      <c r="J8"/>
      <c r="K8"/>
      <c r="V8"/>
      <c r="W8"/>
      <c r="X8"/>
      <c r="Y8"/>
      <c r="Z8"/>
      <c r="AA8"/>
      <c r="AB8"/>
      <c r="AC8"/>
      <c r="AD8"/>
      <c r="AE8"/>
    </row>
    <row r="9" spans="1:31" ht="17.399999999999999" x14ac:dyDescent="0.3">
      <c r="A9" s="90" t="s">
        <v>12</v>
      </c>
      <c r="B9" s="91">
        <v>200</v>
      </c>
      <c r="C9"/>
      <c r="D9"/>
      <c r="E9"/>
      <c r="F9"/>
      <c r="G9"/>
      <c r="H9"/>
      <c r="I9"/>
      <c r="J9"/>
      <c r="K9"/>
      <c r="V9"/>
      <c r="W9"/>
      <c r="X9"/>
      <c r="Y9"/>
      <c r="Z9"/>
      <c r="AA9"/>
      <c r="AB9"/>
      <c r="AC9"/>
      <c r="AD9"/>
      <c r="AE9"/>
    </row>
    <row r="10" spans="1:31" ht="17.399999999999999" x14ac:dyDescent="0.3">
      <c r="A10" s="90" t="s">
        <v>13</v>
      </c>
      <c r="B10" s="91">
        <v>150</v>
      </c>
      <c r="C10"/>
      <c r="D10"/>
      <c r="E10"/>
      <c r="F10"/>
      <c r="G10"/>
      <c r="H10"/>
      <c r="I10"/>
      <c r="J10"/>
      <c r="K10"/>
      <c r="V10"/>
      <c r="W10"/>
      <c r="X10"/>
      <c r="Y10"/>
      <c r="Z10"/>
      <c r="AA10"/>
      <c r="AB10"/>
      <c r="AC10"/>
      <c r="AD10"/>
      <c r="AE10"/>
    </row>
    <row r="11" spans="1:31" ht="17.399999999999999" x14ac:dyDescent="0.3">
      <c r="A11" s="90" t="s">
        <v>14</v>
      </c>
      <c r="B11" s="91">
        <v>200</v>
      </c>
      <c r="C11"/>
      <c r="D11"/>
      <c r="E11"/>
      <c r="F11"/>
      <c r="G11"/>
      <c r="H11"/>
      <c r="I11"/>
      <c r="J11"/>
      <c r="K11"/>
      <c r="V11"/>
      <c r="W11"/>
      <c r="X11"/>
      <c r="Y11"/>
      <c r="Z11"/>
      <c r="AA11"/>
      <c r="AB11"/>
      <c r="AC11"/>
      <c r="AD11"/>
      <c r="AE11"/>
    </row>
    <row r="12" spans="1:31" ht="17.399999999999999" x14ac:dyDescent="0.3">
      <c r="A12" s="90" t="s">
        <v>15</v>
      </c>
      <c r="B12" s="91">
        <v>300</v>
      </c>
      <c r="C12"/>
      <c r="D12"/>
      <c r="E12"/>
      <c r="F12"/>
      <c r="G12"/>
      <c r="H12"/>
      <c r="I12"/>
      <c r="J12"/>
      <c r="K12"/>
      <c r="V12"/>
      <c r="W12"/>
      <c r="X12"/>
      <c r="Y12"/>
      <c r="Z12"/>
      <c r="AA12"/>
      <c r="AB12"/>
      <c r="AC12"/>
      <c r="AD12"/>
      <c r="AE12"/>
    </row>
    <row r="13" spans="1:31" ht="19.2" x14ac:dyDescent="0.3">
      <c r="A13" s="90" t="s">
        <v>16</v>
      </c>
      <c r="B13" s="93">
        <v>181</v>
      </c>
      <c r="C13"/>
      <c r="D13"/>
      <c r="E13"/>
      <c r="F13"/>
      <c r="G13"/>
      <c r="H13"/>
      <c r="I13"/>
      <c r="J13"/>
      <c r="K13"/>
      <c r="V13"/>
      <c r="W13"/>
      <c r="X13"/>
      <c r="Y13"/>
      <c r="Z13"/>
      <c r="AA13"/>
      <c r="AB13"/>
      <c r="AC13"/>
      <c r="AD13"/>
      <c r="AE13"/>
    </row>
    <row r="14" spans="1:31" ht="19.8" x14ac:dyDescent="0.4">
      <c r="A14" s="90" t="s">
        <v>17</v>
      </c>
      <c r="B14" s="93">
        <v>12</v>
      </c>
      <c r="C14"/>
      <c r="D14"/>
      <c r="E14"/>
      <c r="F14"/>
      <c r="G14"/>
      <c r="H14"/>
      <c r="I14"/>
      <c r="J14"/>
      <c r="K14"/>
      <c r="V14"/>
      <c r="W14"/>
      <c r="X14"/>
      <c r="Y14"/>
      <c r="Z14"/>
      <c r="AA14"/>
      <c r="AB14"/>
      <c r="AC14"/>
      <c r="AD14"/>
      <c r="AE14"/>
    </row>
    <row r="15" spans="1:31" ht="20.399999999999999" x14ac:dyDescent="0.4">
      <c r="A15" s="90" t="s">
        <v>18</v>
      </c>
      <c r="B15" s="93">
        <v>86</v>
      </c>
      <c r="C15" s="94" t="s">
        <v>192</v>
      </c>
      <c r="D15"/>
      <c r="E15"/>
      <c r="F15"/>
      <c r="G15"/>
      <c r="H15"/>
      <c r="I15"/>
      <c r="J15"/>
      <c r="K15"/>
      <c r="V15"/>
      <c r="W15"/>
      <c r="X15"/>
      <c r="Y15"/>
      <c r="Z15"/>
      <c r="AA15"/>
      <c r="AB15"/>
      <c r="AC15"/>
      <c r="AD15"/>
      <c r="AE15"/>
    </row>
    <row r="16" spans="1:31" ht="17.399999999999999" x14ac:dyDescent="0.3">
      <c r="A16" s="104" t="s">
        <v>7</v>
      </c>
      <c r="B16" s="105">
        <v>1150</v>
      </c>
      <c r="C16"/>
      <c r="D16"/>
      <c r="E16"/>
      <c r="F16"/>
      <c r="G16"/>
      <c r="H16"/>
      <c r="I16"/>
      <c r="J16"/>
      <c r="K16"/>
      <c r="V16"/>
      <c r="W16"/>
      <c r="X16"/>
      <c r="Y16"/>
      <c r="Z16"/>
      <c r="AA16"/>
      <c r="AB16"/>
      <c r="AC16"/>
      <c r="AD16"/>
      <c r="AE16"/>
    </row>
    <row r="17" spans="1:31" ht="17.399999999999999" x14ac:dyDescent="0.3">
      <c r="A17" s="104" t="s">
        <v>223</v>
      </c>
      <c r="B17" s="105">
        <v>3</v>
      </c>
      <c r="C17"/>
      <c r="D17"/>
      <c r="E17"/>
      <c r="F17"/>
      <c r="G17"/>
      <c r="H17"/>
      <c r="I17"/>
      <c r="J17"/>
      <c r="K17"/>
      <c r="V17"/>
      <c r="W17"/>
      <c r="X17"/>
      <c r="Y17"/>
      <c r="Z17"/>
      <c r="AA17"/>
      <c r="AB17"/>
      <c r="AC17"/>
      <c r="AD17"/>
      <c r="AE17"/>
    </row>
    <row r="18" spans="1:31" ht="17.399999999999999" x14ac:dyDescent="0.3">
      <c r="A18" s="104" t="s">
        <v>5</v>
      </c>
      <c r="B18" s="106">
        <v>15</v>
      </c>
      <c r="C18" s="107" t="s">
        <v>198</v>
      </c>
      <c r="D18"/>
      <c r="E18"/>
      <c r="F18"/>
      <c r="G18"/>
      <c r="H18"/>
      <c r="I18"/>
      <c r="J18"/>
      <c r="K18"/>
      <c r="V18"/>
      <c r="W18"/>
      <c r="X18"/>
      <c r="Y18"/>
      <c r="Z18"/>
      <c r="AA18"/>
      <c r="AB18"/>
      <c r="AC18"/>
      <c r="AD18"/>
      <c r="AE18"/>
    </row>
    <row r="19" spans="1:31" ht="20.399999999999999" customHeight="1" x14ac:dyDescent="0.3">
      <c r="A19" s="104" t="s">
        <v>207</v>
      </c>
      <c r="B19" s="106">
        <f>24-B18</f>
        <v>9</v>
      </c>
      <c r="C19" s="120"/>
      <c r="D19"/>
      <c r="E19"/>
      <c r="F19"/>
      <c r="G19"/>
      <c r="H19"/>
      <c r="I19"/>
      <c r="J19"/>
      <c r="K19"/>
      <c r="V19"/>
      <c r="W19"/>
      <c r="X19"/>
      <c r="Y19"/>
      <c r="Z19"/>
      <c r="AA19"/>
      <c r="AB19"/>
      <c r="AC19"/>
      <c r="AD19"/>
      <c r="AE19"/>
    </row>
    <row r="20" spans="1:31" ht="17.399999999999999" x14ac:dyDescent="0.3">
      <c r="A20" s="113" t="s">
        <v>3</v>
      </c>
      <c r="B20" s="114">
        <v>700</v>
      </c>
      <c r="C20"/>
      <c r="D20"/>
      <c r="E20"/>
      <c r="F20"/>
      <c r="G20"/>
      <c r="H20"/>
      <c r="I20"/>
      <c r="J20"/>
      <c r="K20"/>
      <c r="V20"/>
      <c r="W20"/>
      <c r="X20"/>
      <c r="Y20"/>
      <c r="Z20"/>
      <c r="AA20"/>
      <c r="AB20"/>
      <c r="AC20"/>
      <c r="AD20"/>
      <c r="AE20"/>
    </row>
    <row r="21" spans="1:31" ht="17.399999999999999" x14ac:dyDescent="0.3">
      <c r="A21" s="113" t="s">
        <v>2</v>
      </c>
      <c r="B21" s="114">
        <v>580</v>
      </c>
      <c r="C21"/>
      <c r="D21"/>
      <c r="E21"/>
      <c r="F21"/>
      <c r="G21"/>
      <c r="H21"/>
      <c r="I21"/>
      <c r="J21"/>
      <c r="K21"/>
      <c r="V21"/>
      <c r="W21"/>
      <c r="X21"/>
      <c r="Y21"/>
      <c r="Z21"/>
      <c r="AA21"/>
      <c r="AB21"/>
      <c r="AC21"/>
      <c r="AD21"/>
      <c r="AE21"/>
    </row>
    <row r="22" spans="1:31" ht="17.399999999999999" x14ac:dyDescent="0.3">
      <c r="A22" s="113" t="s">
        <v>4</v>
      </c>
      <c r="B22" s="114">
        <v>510</v>
      </c>
      <c r="C22" s="121" t="s">
        <v>208</v>
      </c>
      <c r="D22"/>
      <c r="E22"/>
      <c r="F22"/>
      <c r="G22"/>
      <c r="H22"/>
      <c r="I22"/>
      <c r="J22"/>
      <c r="K22"/>
      <c r="V22"/>
      <c r="W22"/>
      <c r="X22"/>
      <c r="Y22"/>
      <c r="Z22"/>
      <c r="AA22"/>
      <c r="AB22"/>
      <c r="AC22"/>
      <c r="AD22"/>
      <c r="AE22"/>
    </row>
    <row r="23" spans="1:31" ht="17.399999999999999" x14ac:dyDescent="0.3">
      <c r="A23" s="115" t="s">
        <v>19</v>
      </c>
      <c r="B23" s="116">
        <v>-47</v>
      </c>
      <c r="C23"/>
      <c r="D23"/>
      <c r="E23"/>
      <c r="F23"/>
      <c r="G23"/>
      <c r="H23"/>
      <c r="I23"/>
      <c r="J23"/>
      <c r="K23"/>
      <c r="V23"/>
      <c r="W23"/>
      <c r="X23"/>
      <c r="Y23"/>
      <c r="Z23"/>
      <c r="AA23"/>
      <c r="AB23"/>
      <c r="AC23"/>
      <c r="AD23"/>
      <c r="AE23"/>
    </row>
    <row r="24" spans="1:31" ht="17.399999999999999" x14ac:dyDescent="0.3">
      <c r="A24" s="115" t="s">
        <v>20</v>
      </c>
      <c r="B24" s="117">
        <v>1700</v>
      </c>
      <c r="C24"/>
      <c r="D24"/>
      <c r="E24"/>
      <c r="F24"/>
      <c r="G24"/>
      <c r="H24"/>
      <c r="I24"/>
      <c r="J24"/>
      <c r="K24"/>
      <c r="V24"/>
      <c r="W24"/>
      <c r="X24"/>
      <c r="Y24"/>
      <c r="Z24"/>
      <c r="AA24"/>
      <c r="AB24"/>
      <c r="AC24"/>
      <c r="AD24"/>
      <c r="AE24"/>
    </row>
    <row r="25" spans="1:31" ht="17.399999999999999" x14ac:dyDescent="0.3">
      <c r="A25" s="115" t="s">
        <v>21</v>
      </c>
      <c r="B25" s="117">
        <v>110</v>
      </c>
      <c r="C25"/>
      <c r="D25"/>
      <c r="E25"/>
      <c r="F25"/>
      <c r="G25"/>
      <c r="H25"/>
      <c r="I25"/>
      <c r="J25"/>
      <c r="K25"/>
      <c r="V25"/>
      <c r="W25"/>
      <c r="X25"/>
      <c r="Y25"/>
      <c r="Z25"/>
      <c r="AA25"/>
      <c r="AB25"/>
      <c r="AC25"/>
      <c r="AD25"/>
      <c r="AE25"/>
    </row>
    <row r="26" spans="1:31" ht="17.399999999999999" x14ac:dyDescent="0.3">
      <c r="A26" s="115" t="s">
        <v>22</v>
      </c>
      <c r="B26" s="117">
        <v>0.11</v>
      </c>
      <c r="C26"/>
      <c r="D26"/>
      <c r="E26"/>
      <c r="F26"/>
      <c r="G26"/>
      <c r="H26"/>
      <c r="I26"/>
      <c r="J26"/>
      <c r="K26"/>
      <c r="V26"/>
      <c r="W26"/>
      <c r="X26"/>
      <c r="Y26"/>
      <c r="Z26"/>
      <c r="AA26"/>
      <c r="AB26"/>
      <c r="AC26"/>
      <c r="AD26"/>
      <c r="AE26"/>
    </row>
    <row r="27" spans="1:31" ht="17.399999999999999" x14ac:dyDescent="0.3">
      <c r="A27" s="115" t="s">
        <v>23</v>
      </c>
      <c r="B27" s="118">
        <v>0.09</v>
      </c>
      <c r="C27" s="119" t="s">
        <v>209</v>
      </c>
      <c r="D27"/>
      <c r="E27"/>
      <c r="F27"/>
      <c r="G27"/>
      <c r="H27"/>
      <c r="I27"/>
      <c r="J27"/>
      <c r="K27"/>
      <c r="V27"/>
      <c r="W27"/>
      <c r="X27"/>
      <c r="Y27"/>
      <c r="Z27"/>
      <c r="AA27"/>
      <c r="AB27"/>
      <c r="AC27"/>
      <c r="AD27"/>
      <c r="AE27"/>
    </row>
    <row r="28" spans="1:31" ht="15.6" x14ac:dyDescent="0.3">
      <c r="A28" s="254" t="s">
        <v>24</v>
      </c>
      <c r="B28" s="255" t="s">
        <v>25</v>
      </c>
      <c r="C28"/>
      <c r="D28"/>
      <c r="E28"/>
      <c r="F28"/>
      <c r="G28"/>
      <c r="H28"/>
      <c r="I28"/>
      <c r="J28"/>
      <c r="K28"/>
      <c r="V28"/>
      <c r="W28"/>
      <c r="X28"/>
      <c r="Y28"/>
      <c r="Z28"/>
      <c r="AA28"/>
      <c r="AB28"/>
      <c r="AC28"/>
      <c r="AD28"/>
      <c r="AE28"/>
    </row>
    <row r="29" spans="1:31" ht="17.399999999999999" x14ac:dyDescent="0.3">
      <c r="A29" s="256" t="s">
        <v>26</v>
      </c>
      <c r="B29" s="257">
        <v>151</v>
      </c>
      <c r="C29"/>
      <c r="D29"/>
      <c r="E29"/>
      <c r="F29"/>
      <c r="G29"/>
      <c r="H29"/>
      <c r="I29"/>
      <c r="J29"/>
      <c r="K29"/>
      <c r="V29"/>
      <c r="W29"/>
      <c r="X29"/>
      <c r="Y29"/>
      <c r="Z29"/>
      <c r="AA29"/>
      <c r="AB29"/>
      <c r="AC29"/>
      <c r="AD29"/>
      <c r="AE29"/>
    </row>
    <row r="30" spans="1:31" ht="17.399999999999999" x14ac:dyDescent="0.3">
      <c r="A30" s="256" t="s">
        <v>27</v>
      </c>
      <c r="B30" s="257">
        <v>154</v>
      </c>
      <c r="C30"/>
      <c r="D30"/>
      <c r="E30"/>
      <c r="F30"/>
      <c r="G30"/>
      <c r="H30"/>
      <c r="I30"/>
      <c r="J30"/>
      <c r="K30"/>
      <c r="V30"/>
      <c r="W30"/>
      <c r="X30"/>
      <c r="Y30"/>
      <c r="Z30"/>
      <c r="AA30"/>
      <c r="AB30"/>
      <c r="AC30"/>
      <c r="AD30"/>
      <c r="AE30"/>
    </row>
    <row r="31" spans="1:31" ht="17.399999999999999" x14ac:dyDescent="0.3">
      <c r="A31" s="256" t="s">
        <v>28</v>
      </c>
      <c r="B31" s="257">
        <v>144</v>
      </c>
      <c r="C31"/>
      <c r="D31"/>
      <c r="E31"/>
      <c r="F31"/>
      <c r="G31"/>
      <c r="H31"/>
      <c r="I31"/>
      <c r="J31"/>
      <c r="K31"/>
      <c r="V31"/>
      <c r="W31"/>
      <c r="X31"/>
      <c r="Y31"/>
      <c r="Z31"/>
      <c r="AA31"/>
      <c r="AB31"/>
      <c r="AC31"/>
      <c r="AD31"/>
      <c r="AE31"/>
    </row>
    <row r="32" spans="1:31" ht="17.399999999999999" x14ac:dyDescent="0.3">
      <c r="A32" s="256" t="s">
        <v>29</v>
      </c>
      <c r="B32" s="257">
        <v>169</v>
      </c>
      <c r="C32"/>
      <c r="D32"/>
      <c r="E32"/>
      <c r="F32"/>
      <c r="G32"/>
      <c r="H32"/>
      <c r="I32"/>
      <c r="J32"/>
      <c r="K32"/>
      <c r="V32"/>
      <c r="W32"/>
      <c r="X32"/>
      <c r="Y32"/>
      <c r="Z32"/>
      <c r="AA32"/>
      <c r="AB32"/>
      <c r="AC32"/>
      <c r="AD32"/>
      <c r="AE32"/>
    </row>
    <row r="33" spans="1:31" ht="17.399999999999999" x14ac:dyDescent="0.3">
      <c r="A33" s="256" t="s">
        <v>30</v>
      </c>
      <c r="B33" s="257">
        <v>191</v>
      </c>
      <c r="C33"/>
      <c r="D33"/>
      <c r="E33"/>
      <c r="F33"/>
      <c r="G33"/>
      <c r="H33"/>
      <c r="I33"/>
      <c r="J33"/>
      <c r="K33"/>
      <c r="V33"/>
      <c r="W33"/>
      <c r="X33"/>
      <c r="Y33"/>
      <c r="Z33"/>
      <c r="AA33"/>
      <c r="AB33"/>
      <c r="AC33"/>
      <c r="AD33"/>
      <c r="AE33"/>
    </row>
    <row r="34" spans="1:31" ht="17.399999999999999" x14ac:dyDescent="0.3">
      <c r="A34" s="256" t="s">
        <v>31</v>
      </c>
      <c r="B34" s="257">
        <v>182</v>
      </c>
      <c r="C34"/>
      <c r="D34"/>
      <c r="E34"/>
      <c r="F34"/>
      <c r="G34"/>
      <c r="H34"/>
      <c r="I34"/>
      <c r="J34"/>
      <c r="K34"/>
      <c r="V34"/>
      <c r="W34"/>
      <c r="X34"/>
      <c r="Y34"/>
      <c r="Z34"/>
      <c r="AA34"/>
      <c r="AB34"/>
      <c r="AC34"/>
      <c r="AD34"/>
      <c r="AE34"/>
    </row>
    <row r="35" spans="1:31" ht="17.399999999999999" x14ac:dyDescent="0.3">
      <c r="A35" s="256" t="s">
        <v>32</v>
      </c>
      <c r="B35" s="257">
        <v>120</v>
      </c>
      <c r="C35"/>
      <c r="D35"/>
      <c r="E35"/>
      <c r="F35"/>
      <c r="G35"/>
      <c r="H35"/>
      <c r="I35"/>
      <c r="J35"/>
      <c r="K35"/>
      <c r="V35"/>
      <c r="W35"/>
      <c r="X35"/>
      <c r="Y35"/>
      <c r="Z35"/>
      <c r="AA35"/>
      <c r="AB35"/>
      <c r="AC35"/>
      <c r="AD35"/>
      <c r="AE35"/>
    </row>
    <row r="36" spans="1:31" ht="17.399999999999999" x14ac:dyDescent="0.3">
      <c r="A36" s="256" t="s">
        <v>33</v>
      </c>
      <c r="B36" s="257">
        <v>89</v>
      </c>
      <c r="C36"/>
      <c r="D36"/>
      <c r="E36"/>
      <c r="F36"/>
      <c r="G36"/>
      <c r="H36"/>
      <c r="I36"/>
      <c r="J36"/>
      <c r="K36"/>
      <c r="V36"/>
      <c r="W36"/>
      <c r="X36"/>
      <c r="Y36"/>
      <c r="Z36"/>
      <c r="AA36"/>
      <c r="AB36"/>
      <c r="AC36"/>
      <c r="AD36"/>
      <c r="AE36"/>
    </row>
    <row r="37" spans="1:31" ht="17.399999999999999" x14ac:dyDescent="0.3">
      <c r="A37" s="256" t="s">
        <v>34</v>
      </c>
      <c r="B37" s="257">
        <v>50</v>
      </c>
      <c r="C37"/>
      <c r="D37"/>
      <c r="E37"/>
      <c r="F37"/>
      <c r="G37"/>
      <c r="H37"/>
      <c r="I37"/>
      <c r="J37"/>
      <c r="K37"/>
      <c r="V37"/>
      <c r="W37"/>
      <c r="X37"/>
      <c r="Y37"/>
      <c r="Z37"/>
      <c r="AA37"/>
      <c r="AB37"/>
      <c r="AC37"/>
      <c r="AD37"/>
      <c r="AE37"/>
    </row>
    <row r="38" spans="1:31" ht="17.399999999999999" x14ac:dyDescent="0.3">
      <c r="A38" s="256" t="s">
        <v>35</v>
      </c>
      <c r="B38" s="257">
        <v>59</v>
      </c>
      <c r="C38"/>
      <c r="D38"/>
      <c r="E38"/>
      <c r="F38"/>
      <c r="G38"/>
      <c r="H38"/>
      <c r="I38"/>
      <c r="J38"/>
      <c r="K38"/>
      <c r="V38"/>
      <c r="W38"/>
      <c r="X38"/>
      <c r="Y38"/>
      <c r="Z38"/>
      <c r="AA38"/>
      <c r="AB38"/>
      <c r="AC38"/>
      <c r="AD38"/>
      <c r="AE38"/>
    </row>
    <row r="39" spans="1:31" ht="17.399999999999999" x14ac:dyDescent="0.3">
      <c r="A39" s="256" t="s">
        <v>36</v>
      </c>
      <c r="B39" s="257">
        <v>79</v>
      </c>
      <c r="C39"/>
      <c r="D39"/>
      <c r="E39"/>
      <c r="F39"/>
      <c r="G39"/>
      <c r="H39"/>
      <c r="I39"/>
      <c r="J39"/>
      <c r="K39"/>
      <c r="V39"/>
      <c r="W39"/>
      <c r="X39"/>
      <c r="Y39"/>
      <c r="Z39"/>
      <c r="AA39"/>
      <c r="AB39"/>
      <c r="AC39"/>
      <c r="AD39"/>
      <c r="AE39"/>
    </row>
    <row r="40" spans="1:31" ht="17.399999999999999" x14ac:dyDescent="0.3">
      <c r="A40" s="256" t="s">
        <v>37</v>
      </c>
      <c r="B40" s="257">
        <v>112</v>
      </c>
      <c r="C40"/>
      <c r="D40"/>
      <c r="E40"/>
      <c r="F40"/>
      <c r="G40"/>
      <c r="H40"/>
      <c r="I40"/>
      <c r="J40"/>
      <c r="K40"/>
      <c r="V40"/>
      <c r="W40"/>
      <c r="X40"/>
      <c r="Y40"/>
      <c r="Z40"/>
      <c r="AA40"/>
      <c r="AB40"/>
      <c r="AC40"/>
      <c r="AD40"/>
      <c r="AE40"/>
    </row>
    <row r="41" spans="1:31" ht="17.399999999999999" x14ac:dyDescent="0.3">
      <c r="A41" s="256" t="s">
        <v>38</v>
      </c>
      <c r="B41" s="257">
        <v>162</v>
      </c>
      <c r="C41"/>
      <c r="D41"/>
      <c r="E41"/>
      <c r="F41"/>
      <c r="G41"/>
      <c r="H41"/>
      <c r="I41"/>
      <c r="J41"/>
      <c r="K41"/>
      <c r="V41"/>
      <c r="W41"/>
      <c r="X41"/>
      <c r="Y41"/>
      <c r="Z41"/>
      <c r="AA41"/>
      <c r="AB41"/>
      <c r="AC41"/>
      <c r="AD41"/>
      <c r="AE41"/>
    </row>
    <row r="42" spans="1:31" ht="17.399999999999999" x14ac:dyDescent="0.3">
      <c r="A42" s="256" t="s">
        <v>39</v>
      </c>
      <c r="B42" s="257">
        <v>100</v>
      </c>
      <c r="C42"/>
      <c r="D42"/>
      <c r="E42"/>
      <c r="F42"/>
      <c r="G42"/>
      <c r="H42"/>
      <c r="I42"/>
      <c r="J42"/>
      <c r="K42"/>
      <c r="V42"/>
      <c r="W42"/>
      <c r="X42"/>
      <c r="Y42"/>
      <c r="Z42"/>
      <c r="AA42"/>
      <c r="AB42"/>
      <c r="AC42"/>
      <c r="AD42"/>
      <c r="AE42"/>
    </row>
    <row r="43" spans="1:31" ht="17.399999999999999" x14ac:dyDescent="0.3">
      <c r="A43" s="256" t="s">
        <v>40</v>
      </c>
      <c r="B43" s="257">
        <v>140</v>
      </c>
      <c r="C43"/>
      <c r="D43"/>
      <c r="E43"/>
      <c r="F43"/>
      <c r="G43"/>
      <c r="H43"/>
      <c r="I43"/>
      <c r="J43"/>
      <c r="K43"/>
      <c r="V43"/>
      <c r="W43"/>
      <c r="X43"/>
      <c r="Y43"/>
      <c r="Z43"/>
      <c r="AA43"/>
      <c r="AB43"/>
      <c r="AC43"/>
      <c r="AD43"/>
      <c r="AE43"/>
    </row>
    <row r="44" spans="1:31" ht="17.399999999999999" x14ac:dyDescent="0.3">
      <c r="A44" s="256" t="s">
        <v>41</v>
      </c>
      <c r="B44" s="257">
        <v>74</v>
      </c>
      <c r="C44"/>
      <c r="D44"/>
      <c r="E44"/>
      <c r="F44"/>
      <c r="G44"/>
      <c r="H44"/>
      <c r="I44"/>
      <c r="J44"/>
      <c r="K44"/>
      <c r="V44"/>
      <c r="W44"/>
      <c r="X44"/>
      <c r="Y44"/>
      <c r="Z44"/>
      <c r="AA44"/>
      <c r="AB44"/>
      <c r="AC44"/>
      <c r="AD44"/>
      <c r="AE44"/>
    </row>
    <row r="45" spans="1:31" ht="17.399999999999999" x14ac:dyDescent="0.3">
      <c r="A45" s="256" t="s">
        <v>42</v>
      </c>
      <c r="B45" s="257">
        <v>150</v>
      </c>
      <c r="C45" s="258" t="s">
        <v>330</v>
      </c>
      <c r="D45"/>
      <c r="E45"/>
      <c r="F45"/>
      <c r="G45"/>
      <c r="H45"/>
      <c r="I45"/>
      <c r="J45"/>
      <c r="K45"/>
      <c r="V45"/>
      <c r="W45"/>
      <c r="X45"/>
      <c r="Y45"/>
      <c r="Z45"/>
      <c r="AA45"/>
      <c r="AB45"/>
      <c r="AC45"/>
      <c r="AD45"/>
      <c r="AE45"/>
    </row>
    <row r="46" spans="1:31" ht="17.399999999999999" x14ac:dyDescent="0.3">
      <c r="A46" s="6" t="s">
        <v>44</v>
      </c>
      <c r="B46" s="9">
        <v>75</v>
      </c>
      <c r="C46"/>
      <c r="D46"/>
      <c r="E46"/>
      <c r="F46"/>
      <c r="G46"/>
      <c r="H46"/>
      <c r="I46"/>
      <c r="J46"/>
      <c r="K46"/>
      <c r="V46"/>
      <c r="W46"/>
      <c r="X46"/>
      <c r="Y46"/>
      <c r="Z46"/>
      <c r="AA46"/>
      <c r="AB46"/>
      <c r="AC46"/>
      <c r="AD46"/>
      <c r="AE46"/>
    </row>
    <row r="47" spans="1:31" ht="17.399999999999999" x14ac:dyDescent="0.3">
      <c r="A47" s="6" t="s">
        <v>43</v>
      </c>
      <c r="B47" s="10">
        <v>0.51100000000000001</v>
      </c>
      <c r="C47"/>
      <c r="D47"/>
      <c r="E47"/>
      <c r="F47"/>
      <c r="G47"/>
      <c r="H47"/>
      <c r="I47"/>
      <c r="J47"/>
      <c r="K47"/>
      <c r="V47"/>
      <c r="W47"/>
      <c r="X47"/>
      <c r="Y47"/>
      <c r="Z47"/>
      <c r="AA47"/>
      <c r="AB47"/>
      <c r="AC47"/>
      <c r="AD47"/>
      <c r="AE47"/>
    </row>
    <row r="48" spans="1:31" ht="17.399999999999999" x14ac:dyDescent="0.3">
      <c r="A48" s="6" t="s">
        <v>57</v>
      </c>
      <c r="B48" s="7">
        <v>278</v>
      </c>
      <c r="C48"/>
      <c r="D48"/>
      <c r="E48"/>
      <c r="F48"/>
      <c r="G48"/>
      <c r="H48"/>
      <c r="I48"/>
      <c r="J48"/>
      <c r="K48"/>
      <c r="V48"/>
      <c r="W48"/>
      <c r="X48"/>
      <c r="Y48"/>
      <c r="Z48"/>
      <c r="AA48"/>
      <c r="AB48"/>
      <c r="AC48"/>
      <c r="AD48"/>
      <c r="AE48"/>
    </row>
    <row r="49" spans="1:31" ht="19.8" x14ac:dyDescent="0.4">
      <c r="A49" s="6" t="s">
        <v>45</v>
      </c>
      <c r="B49" s="12">
        <v>1.2019999999999999E-2</v>
      </c>
      <c r="C49"/>
      <c r="D49"/>
      <c r="E49"/>
      <c r="F49"/>
      <c r="G49"/>
      <c r="H49"/>
      <c r="I49"/>
      <c r="J49"/>
      <c r="K49"/>
      <c r="V49"/>
      <c r="W49"/>
      <c r="X49"/>
      <c r="Y49"/>
      <c r="Z49"/>
      <c r="AA49"/>
      <c r="AB49"/>
      <c r="AC49"/>
      <c r="AD49"/>
      <c r="AE49"/>
    </row>
    <row r="50" spans="1:31" ht="19.8" x14ac:dyDescent="0.4">
      <c r="A50" s="6" t="s">
        <v>46</v>
      </c>
      <c r="B50" s="12">
        <v>1.26E-2</v>
      </c>
      <c r="C50"/>
      <c r="D50"/>
      <c r="E50"/>
      <c r="F50"/>
      <c r="G50"/>
      <c r="H50"/>
      <c r="I50"/>
      <c r="J50"/>
      <c r="K50"/>
      <c r="V50"/>
      <c r="W50"/>
      <c r="X50"/>
      <c r="Y50"/>
      <c r="Z50"/>
      <c r="AA50"/>
      <c r="AB50"/>
      <c r="AC50"/>
      <c r="AD50"/>
      <c r="AE50"/>
    </row>
    <row r="51" spans="1:31" ht="19.8" x14ac:dyDescent="0.4">
      <c r="A51" s="6" t="s">
        <v>47</v>
      </c>
      <c r="B51" s="12">
        <v>1.366E-2</v>
      </c>
      <c r="C51"/>
      <c r="D51"/>
      <c r="E51"/>
      <c r="F51"/>
      <c r="G51"/>
      <c r="H51"/>
      <c r="I51"/>
      <c r="J51"/>
      <c r="K51"/>
      <c r="V51"/>
      <c r="W51"/>
      <c r="X51"/>
      <c r="Y51"/>
      <c r="Z51"/>
      <c r="AA51"/>
      <c r="AB51"/>
      <c r="AC51"/>
      <c r="AD51"/>
      <c r="AE51"/>
    </row>
    <row r="52" spans="1:31" ht="19.8" x14ac:dyDescent="0.4">
      <c r="A52" s="6" t="s">
        <v>48</v>
      </c>
      <c r="B52" s="12">
        <v>1.374E-2</v>
      </c>
      <c r="C52"/>
      <c r="D52"/>
      <c r="E52"/>
      <c r="F52"/>
      <c r="G52"/>
      <c r="H52"/>
      <c r="I52"/>
      <c r="J52"/>
      <c r="K52"/>
      <c r="V52"/>
      <c r="W52"/>
      <c r="X52"/>
      <c r="Y52"/>
      <c r="Z52"/>
      <c r="AA52"/>
      <c r="AB52"/>
      <c r="AC52"/>
      <c r="AD52"/>
      <c r="AE52"/>
    </row>
    <row r="53" spans="1:31" ht="19.8" x14ac:dyDescent="0.4">
      <c r="A53" s="6" t="s">
        <v>49</v>
      </c>
      <c r="B53" s="7">
        <v>4.5999999999999996</v>
      </c>
      <c r="C53"/>
      <c r="D53"/>
      <c r="E53"/>
      <c r="F53"/>
      <c r="G53"/>
      <c r="H53"/>
      <c r="I53"/>
      <c r="J53"/>
      <c r="K53"/>
      <c r="V53"/>
      <c r="W53"/>
      <c r="X53"/>
      <c r="Y53"/>
      <c r="Z53"/>
      <c r="AA53"/>
      <c r="AB53"/>
      <c r="AC53"/>
      <c r="AD53"/>
      <c r="AE53"/>
    </row>
    <row r="54" spans="1:31" ht="19.8" x14ac:dyDescent="0.4">
      <c r="A54" s="6" t="s">
        <v>50</v>
      </c>
      <c r="B54" s="7">
        <v>4.5</v>
      </c>
      <c r="C54"/>
      <c r="D54"/>
      <c r="E54"/>
      <c r="F54"/>
      <c r="G54"/>
      <c r="H54"/>
      <c r="I54"/>
      <c r="J54"/>
      <c r="K54"/>
      <c r="V54"/>
      <c r="W54"/>
      <c r="X54"/>
      <c r="Y54"/>
      <c r="Z54"/>
      <c r="AA54"/>
      <c r="AB54"/>
      <c r="AC54"/>
      <c r="AD54"/>
      <c r="AE54"/>
    </row>
    <row r="55" spans="1:31" ht="19.8" x14ac:dyDescent="0.4">
      <c r="A55" s="6" t="s">
        <v>51</v>
      </c>
      <c r="B55" s="7">
        <v>5.2</v>
      </c>
      <c r="C55"/>
      <c r="D55"/>
      <c r="E55"/>
      <c r="F55"/>
      <c r="G55"/>
      <c r="H55"/>
      <c r="I55"/>
      <c r="J55"/>
      <c r="K55"/>
      <c r="V55"/>
      <c r="W55"/>
      <c r="X55"/>
      <c r="Y55"/>
      <c r="Z55"/>
      <c r="AA55"/>
      <c r="AB55"/>
      <c r="AC55"/>
      <c r="AD55"/>
      <c r="AE55"/>
    </row>
    <row r="56" spans="1:31" ht="19.8" x14ac:dyDescent="0.4">
      <c r="A56" s="6" t="s">
        <v>52</v>
      </c>
      <c r="B56" s="7">
        <v>4.3</v>
      </c>
      <c r="C56"/>
      <c r="D56"/>
      <c r="E56"/>
      <c r="F56"/>
      <c r="G56"/>
      <c r="H56"/>
      <c r="I56"/>
      <c r="J56"/>
      <c r="K56"/>
      <c r="V56"/>
      <c r="W56"/>
      <c r="X56"/>
      <c r="Y56"/>
      <c r="Z56"/>
      <c r="AA56"/>
      <c r="AB56"/>
      <c r="AC56"/>
      <c r="AD56"/>
      <c r="AE56"/>
    </row>
    <row r="57" spans="1:31" ht="17.399999999999999" x14ac:dyDescent="0.3">
      <c r="A57" s="6" t="s">
        <v>53</v>
      </c>
      <c r="B57" s="8" t="s">
        <v>54</v>
      </c>
      <c r="C57"/>
      <c r="D57"/>
      <c r="E57"/>
      <c r="F57"/>
      <c r="G57"/>
      <c r="H57"/>
      <c r="I57"/>
      <c r="J57"/>
      <c r="K57"/>
      <c r="V57"/>
      <c r="W57"/>
      <c r="X57"/>
      <c r="Y57"/>
      <c r="Z57"/>
      <c r="AA57"/>
      <c r="AB57"/>
      <c r="AC57"/>
      <c r="AD57"/>
      <c r="AE57"/>
    </row>
    <row r="58" spans="1:31" ht="17.399999999999999" x14ac:dyDescent="0.3">
      <c r="A58" s="6" t="s">
        <v>55</v>
      </c>
      <c r="B58" s="7">
        <v>0.7</v>
      </c>
      <c r="C58"/>
      <c r="D58"/>
      <c r="E58"/>
      <c r="F58"/>
      <c r="G58"/>
      <c r="H58"/>
      <c r="I58"/>
      <c r="J58"/>
      <c r="K58"/>
      <c r="V58"/>
      <c r="W58"/>
      <c r="X58"/>
      <c r="Y58"/>
      <c r="Z58"/>
      <c r="AA58"/>
      <c r="AB58"/>
      <c r="AC58"/>
      <c r="AD58"/>
      <c r="AE58"/>
    </row>
    <row r="59" spans="1:31" ht="19.8" x14ac:dyDescent="0.4">
      <c r="A59" s="6" t="s">
        <v>56</v>
      </c>
      <c r="B59" s="7">
        <v>11</v>
      </c>
      <c r="C59"/>
      <c r="D59"/>
      <c r="E59"/>
      <c r="F59"/>
      <c r="G59"/>
      <c r="H59"/>
      <c r="I59"/>
      <c r="J59"/>
      <c r="K59"/>
      <c r="V59"/>
      <c r="W59"/>
      <c r="X59"/>
      <c r="Y59"/>
      <c r="Z59"/>
      <c r="AA59"/>
      <c r="AB59"/>
      <c r="AC59"/>
      <c r="AD59"/>
      <c r="AE59"/>
    </row>
    <row r="60" spans="1:31" x14ac:dyDescent="0.35">
      <c r="B60"/>
      <c r="C60"/>
      <c r="D60"/>
      <c r="E60"/>
      <c r="F60"/>
      <c r="G60"/>
      <c r="K60" s="2"/>
      <c r="L60" s="1"/>
      <c r="M60" s="1"/>
      <c r="N60" s="1"/>
      <c r="O60" s="1"/>
      <c r="P60" s="1"/>
      <c r="Q60" s="1"/>
      <c r="V60"/>
      <c r="W60"/>
      <c r="X60"/>
      <c r="Y60"/>
      <c r="Z60"/>
      <c r="AA60"/>
      <c r="AB60"/>
      <c r="AC60"/>
      <c r="AD60"/>
      <c r="AE60"/>
    </row>
    <row r="61" spans="1:31" x14ac:dyDescent="0.35">
      <c r="B61"/>
      <c r="C61"/>
      <c r="D61"/>
      <c r="E61"/>
      <c r="F61"/>
      <c r="G61"/>
      <c r="K61" s="2"/>
      <c r="L61" s="1"/>
      <c r="M61" s="1"/>
      <c r="N61" s="1"/>
      <c r="O61" s="1"/>
      <c r="P61" s="1"/>
      <c r="Q61" s="1"/>
      <c r="V61"/>
      <c r="W61"/>
      <c r="X61"/>
      <c r="Y61"/>
      <c r="Z61"/>
      <c r="AA61"/>
      <c r="AB61"/>
      <c r="AC61"/>
      <c r="AD61"/>
      <c r="AE61"/>
    </row>
    <row r="62" spans="1:31" x14ac:dyDescent="0.35">
      <c r="Y62" s="2"/>
    </row>
    <row r="63" spans="1:31" x14ac:dyDescent="0.35">
      <c r="Y63" s="2"/>
    </row>
    <row r="64" spans="1:31" x14ac:dyDescent="0.35">
      <c r="Y64" s="2"/>
    </row>
    <row r="65" spans="25:25" x14ac:dyDescent="0.35">
      <c r="Y65" s="2"/>
    </row>
    <row r="66" spans="25:25" x14ac:dyDescent="0.35">
      <c r="Y66" s="2"/>
    </row>
    <row r="67" spans="25:25" x14ac:dyDescent="0.35">
      <c r="Y67" s="2"/>
    </row>
    <row r="68" spans="25:25" x14ac:dyDescent="0.35">
      <c r="Y68" s="2"/>
    </row>
    <row r="69" spans="25:25" x14ac:dyDescent="0.35">
      <c r="Y69" s="2"/>
    </row>
    <row r="70" spans="25:25" x14ac:dyDescent="0.35">
      <c r="Y70" s="2"/>
    </row>
    <row r="71" spans="25:25" x14ac:dyDescent="0.35">
      <c r="Y71" s="2"/>
    </row>
    <row r="72" spans="25:25" x14ac:dyDescent="0.35">
      <c r="Y72" s="2"/>
    </row>
    <row r="73" spans="25:25" x14ac:dyDescent="0.35">
      <c r="Y73" s="2"/>
    </row>
    <row r="74" spans="25:25" x14ac:dyDescent="0.35">
      <c r="Y74" s="2"/>
    </row>
    <row r="75" spans="25:25" x14ac:dyDescent="0.35">
      <c r="Y75" s="2"/>
    </row>
    <row r="76" spans="25:25" x14ac:dyDescent="0.35">
      <c r="Y76" s="2"/>
    </row>
    <row r="77" spans="25:25" x14ac:dyDescent="0.35">
      <c r="Y77" s="2"/>
    </row>
    <row r="78" spans="25:25" x14ac:dyDescent="0.35">
      <c r="Y78" s="2"/>
    </row>
    <row r="79" spans="25:25" x14ac:dyDescent="0.35">
      <c r="Y79" s="2"/>
    </row>
    <row r="80" spans="25:25" x14ac:dyDescent="0.35">
      <c r="Y80" s="2"/>
    </row>
    <row r="81" spans="25:25" x14ac:dyDescent="0.35">
      <c r="Y81" s="2"/>
    </row>
    <row r="82" spans="25:25" x14ac:dyDescent="0.35">
      <c r="Y82" s="2"/>
    </row>
    <row r="83" spans="25:25" x14ac:dyDescent="0.35">
      <c r="Y83" s="2"/>
    </row>
    <row r="84" spans="25:25" x14ac:dyDescent="0.35">
      <c r="Y84" s="2"/>
    </row>
    <row r="85" spans="25:25" x14ac:dyDescent="0.35">
      <c r="Y85" s="2"/>
    </row>
    <row r="86" spans="25:25" x14ac:dyDescent="0.35">
      <c r="Y86" s="2"/>
    </row>
    <row r="87" spans="25:25" x14ac:dyDescent="0.35">
      <c r="Y87" s="2"/>
    </row>
    <row r="88" spans="25:25" x14ac:dyDescent="0.35">
      <c r="Y88" s="2"/>
    </row>
    <row r="89" spans="25:25" x14ac:dyDescent="0.35">
      <c r="Y89" s="2"/>
    </row>
    <row r="90" spans="25:25" x14ac:dyDescent="0.35">
      <c r="Y90" s="2"/>
    </row>
    <row r="91" spans="25:25" x14ac:dyDescent="0.35">
      <c r="Y91" s="2"/>
    </row>
    <row r="92" spans="25:25" x14ac:dyDescent="0.35">
      <c r="Y92" s="2"/>
    </row>
    <row r="93" spans="25:25" x14ac:dyDescent="0.35">
      <c r="Y93" s="2"/>
    </row>
    <row r="94" spans="25:25" x14ac:dyDescent="0.35">
      <c r="Y94" s="2"/>
    </row>
    <row r="95" spans="25:25" x14ac:dyDescent="0.35">
      <c r="Y95" s="2"/>
    </row>
    <row r="96" spans="25:25" x14ac:dyDescent="0.35">
      <c r="Y96" s="2"/>
    </row>
    <row r="97" spans="25:25" x14ac:dyDescent="0.35">
      <c r="Y97" s="2"/>
    </row>
    <row r="98" spans="25:25" x14ac:dyDescent="0.35">
      <c r="Y98" s="2"/>
    </row>
    <row r="99" spans="25:25" x14ac:dyDescent="0.35">
      <c r="Y99" s="2"/>
    </row>
    <row r="100" spans="25:25" x14ac:dyDescent="0.35">
      <c r="Y100" s="2"/>
    </row>
    <row r="101" spans="25:25" x14ac:dyDescent="0.35">
      <c r="Y101" s="2"/>
    </row>
    <row r="102" spans="25:25" x14ac:dyDescent="0.35">
      <c r="Y102" s="2"/>
    </row>
    <row r="103" spans="25:25" x14ac:dyDescent="0.35">
      <c r="Y103" s="2"/>
    </row>
    <row r="104" spans="25:25" x14ac:dyDescent="0.35">
      <c r="Y104" s="2"/>
    </row>
    <row r="105" spans="25:25" x14ac:dyDescent="0.35">
      <c r="Y105" s="2"/>
    </row>
    <row r="106" spans="25:25" x14ac:dyDescent="0.35">
      <c r="Y106" s="2"/>
    </row>
    <row r="107" spans="25:25" x14ac:dyDescent="0.35">
      <c r="Y107" s="2"/>
    </row>
    <row r="108" spans="25:25" x14ac:dyDescent="0.35">
      <c r="Y108" s="2"/>
    </row>
    <row r="109" spans="25:25" x14ac:dyDescent="0.35">
      <c r="Y109" s="2"/>
    </row>
    <row r="110" spans="25:25" x14ac:dyDescent="0.35">
      <c r="Y110" s="2"/>
    </row>
    <row r="111" spans="25:25" x14ac:dyDescent="0.35">
      <c r="Y111" s="2"/>
    </row>
    <row r="112" spans="25:25" x14ac:dyDescent="0.35">
      <c r="Y112" s="2"/>
    </row>
    <row r="113" spans="25:25" x14ac:dyDescent="0.35">
      <c r="Y113" s="2"/>
    </row>
    <row r="114" spans="25:25" x14ac:dyDescent="0.35">
      <c r="Y114" s="2"/>
    </row>
    <row r="115" spans="25:25" x14ac:dyDescent="0.35">
      <c r="Y115" s="2"/>
    </row>
    <row r="116" spans="25:25" x14ac:dyDescent="0.35">
      <c r="Y116" s="2"/>
    </row>
  </sheetData>
  <mergeCells count="1">
    <mergeCell ref="A1:B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2592C-064E-4C48-9502-97E3826B8A1A}">
  <sheetPr>
    <tabColor rgb="FFFFC000"/>
  </sheetPr>
  <dimension ref="A1:T36"/>
  <sheetViews>
    <sheetView topLeftCell="G1" zoomScale="68" zoomScaleNormal="68" workbookViewId="0">
      <selection activeCell="M6" sqref="M6:Q12"/>
    </sheetView>
  </sheetViews>
  <sheetFormatPr defaultRowHeight="14.4" x14ac:dyDescent="0.3"/>
  <cols>
    <col min="1" max="1" width="88.6640625" bestFit="1" customWidth="1"/>
    <col min="2" max="2" width="14.88671875" bestFit="1" customWidth="1"/>
    <col min="7" max="7" width="23.6640625" customWidth="1"/>
    <col min="8" max="8" width="33" customWidth="1"/>
    <col min="9" max="9" width="48.21875" customWidth="1"/>
    <col min="10" max="10" width="35" bestFit="1" customWidth="1"/>
    <col min="11" max="11" width="23.6640625" customWidth="1"/>
    <col min="12" max="12" width="19.6640625" customWidth="1"/>
    <col min="13" max="13" width="35" bestFit="1" customWidth="1"/>
    <col min="14" max="14" width="15.77734375" bestFit="1" customWidth="1"/>
    <col min="15" max="15" width="19" customWidth="1"/>
    <col min="16" max="16" width="15.77734375" bestFit="1" customWidth="1"/>
    <col min="17" max="17" width="11.33203125" customWidth="1"/>
  </cols>
  <sheetData>
    <row r="1" spans="1:20" ht="18.600000000000001" thickBot="1" x14ac:dyDescent="0.4">
      <c r="A1" s="203" t="s">
        <v>58</v>
      </c>
      <c r="B1" s="203"/>
    </row>
    <row r="2" spans="1:20" ht="21" customHeight="1" thickTop="1" x14ac:dyDescent="0.35">
      <c r="A2" s="5"/>
      <c r="B2" s="17" t="s">
        <v>6</v>
      </c>
      <c r="G2" s="209" t="s">
        <v>67</v>
      </c>
      <c r="H2" s="208" t="s">
        <v>193</v>
      </c>
      <c r="I2" s="208"/>
      <c r="J2" s="20"/>
      <c r="K2" s="20"/>
    </row>
    <row r="3" spans="1:20" ht="18" customHeight="1" x14ac:dyDescent="0.35">
      <c r="A3" s="16" t="s">
        <v>0</v>
      </c>
      <c r="B3" s="13">
        <v>5027</v>
      </c>
      <c r="G3" s="210"/>
      <c r="H3" s="18" t="s">
        <v>180</v>
      </c>
      <c r="I3" s="19">
        <f>B3*((1+0.009)^40)</f>
        <v>7193.7532089977458</v>
      </c>
      <c r="J3" s="21"/>
      <c r="K3" s="21"/>
    </row>
    <row r="4" spans="1:20" ht="18" customHeight="1" x14ac:dyDescent="0.35">
      <c r="A4" s="16" t="s">
        <v>8</v>
      </c>
      <c r="B4" s="13">
        <v>2400</v>
      </c>
      <c r="G4" s="210"/>
      <c r="H4" s="18" t="s">
        <v>181</v>
      </c>
      <c r="I4" s="19">
        <f>B4*((1+0.009)^40)</f>
        <v>3434.4554807230138</v>
      </c>
      <c r="J4" s="21"/>
      <c r="K4" s="21"/>
    </row>
    <row r="5" spans="1:20" ht="21" customHeight="1" thickBot="1" x14ac:dyDescent="0.35">
      <c r="A5" s="16" t="s">
        <v>1</v>
      </c>
      <c r="B5" s="14">
        <v>0.9</v>
      </c>
    </row>
    <row r="6" spans="1:20" ht="20.399999999999999" thickTop="1" x14ac:dyDescent="0.35">
      <c r="A6" s="16" t="s">
        <v>9</v>
      </c>
      <c r="B6" s="13">
        <v>5</v>
      </c>
      <c r="G6" s="209" t="s">
        <v>68</v>
      </c>
      <c r="H6" s="216" t="s">
        <v>194</v>
      </c>
      <c r="I6" s="217"/>
      <c r="J6" s="217"/>
      <c r="K6" s="217"/>
      <c r="M6" s="211" t="s">
        <v>195</v>
      </c>
      <c r="N6" s="212"/>
      <c r="O6" s="212"/>
      <c r="P6" s="212"/>
      <c r="Q6" s="213"/>
    </row>
    <row r="7" spans="1:20" ht="18" customHeight="1" x14ac:dyDescent="0.35">
      <c r="A7" s="16" t="s">
        <v>10</v>
      </c>
      <c r="B7" s="13">
        <v>300</v>
      </c>
      <c r="G7" s="210"/>
      <c r="H7" s="18" t="s">
        <v>69</v>
      </c>
      <c r="I7" s="18">
        <f>I3*B10</f>
        <v>1079062.9813496619</v>
      </c>
      <c r="J7" s="18" t="s">
        <v>62</v>
      </c>
      <c r="K7" s="29">
        <f>(I7/(60*60*24))</f>
        <v>12.489154876732199</v>
      </c>
      <c r="L7" s="77" t="s">
        <v>63</v>
      </c>
      <c r="M7" s="78" t="s">
        <v>186</v>
      </c>
      <c r="N7" s="24">
        <f>I7*365</f>
        <v>393857988.1926266</v>
      </c>
      <c r="O7" s="24" t="s">
        <v>184</v>
      </c>
      <c r="P7" s="84">
        <f>N7/1000</f>
        <v>393857.98819262662</v>
      </c>
      <c r="Q7" s="79" t="s">
        <v>106</v>
      </c>
    </row>
    <row r="8" spans="1:20" ht="18" customHeight="1" x14ac:dyDescent="0.35">
      <c r="A8" s="16" t="s">
        <v>11</v>
      </c>
      <c r="B8" s="13">
        <v>3</v>
      </c>
      <c r="G8" s="210"/>
      <c r="H8" s="18" t="s">
        <v>70</v>
      </c>
      <c r="I8" s="18">
        <f>I4*B11</f>
        <v>686891.09614460275</v>
      </c>
      <c r="J8" s="18" t="s">
        <v>62</v>
      </c>
      <c r="K8" s="29">
        <f t="shared" ref="K8:K11" si="0">(I8/(60*60*24))</f>
        <v>7.9501284275995685</v>
      </c>
      <c r="L8" s="77" t="s">
        <v>63</v>
      </c>
      <c r="M8" s="78" t="s">
        <v>187</v>
      </c>
      <c r="N8" s="24">
        <f>I8*365</f>
        <v>250715250.09277999</v>
      </c>
      <c r="O8" s="24" t="s">
        <v>184</v>
      </c>
      <c r="P8" s="84">
        <f>N8/1000</f>
        <v>250715.25009277998</v>
      </c>
      <c r="Q8" s="79" t="str">
        <f>$Q$7</f>
        <v>m^3</v>
      </c>
    </row>
    <row r="9" spans="1:20" ht="18" customHeight="1" x14ac:dyDescent="0.35">
      <c r="A9" s="16" t="s">
        <v>12</v>
      </c>
      <c r="B9" s="13">
        <v>200</v>
      </c>
      <c r="G9" s="210"/>
      <c r="H9" s="18" t="s">
        <v>78</v>
      </c>
      <c r="I9" s="18">
        <f>(B6*B7*B12)+(B8*B9*B12)</f>
        <v>630000</v>
      </c>
      <c r="J9" s="18" t="s">
        <v>62</v>
      </c>
      <c r="K9" s="29">
        <f t="shared" si="0"/>
        <v>7.291666666666667</v>
      </c>
      <c r="L9" s="77" t="s">
        <v>63</v>
      </c>
      <c r="M9" s="78" t="s">
        <v>188</v>
      </c>
      <c r="N9" s="24">
        <f>I9*30*(0.2+0.45+0.85+0.9+0.6+4)</f>
        <v>132300000</v>
      </c>
      <c r="O9" s="24" t="s">
        <v>184</v>
      </c>
      <c r="P9" s="84">
        <f>N9/1000</f>
        <v>132300</v>
      </c>
      <c r="Q9" s="79" t="str">
        <f t="shared" ref="Q9:Q12" si="1">$Q$7</f>
        <v>m^3</v>
      </c>
    </row>
    <row r="10" spans="1:20" ht="18" customHeight="1" x14ac:dyDescent="0.35">
      <c r="A10" s="16" t="s">
        <v>13</v>
      </c>
      <c r="B10" s="13">
        <v>150</v>
      </c>
      <c r="G10" s="210"/>
      <c r="H10" s="18" t="s">
        <v>79</v>
      </c>
      <c r="I10" s="18">
        <f>B13*1000</f>
        <v>181000</v>
      </c>
      <c r="J10" s="18" t="s">
        <v>62</v>
      </c>
      <c r="K10" s="29">
        <f>(I10/(60*60*24))</f>
        <v>2.0949074074074074</v>
      </c>
      <c r="L10" s="77" t="s">
        <v>63</v>
      </c>
      <c r="M10" s="78" t="s">
        <v>189</v>
      </c>
      <c r="N10" s="24">
        <f>I10*365</f>
        <v>66065000</v>
      </c>
      <c r="O10" s="24" t="s">
        <v>184</v>
      </c>
      <c r="P10" s="84">
        <f>N10/1000</f>
        <v>66065</v>
      </c>
      <c r="Q10" s="79" t="str">
        <f t="shared" si="1"/>
        <v>m^3</v>
      </c>
    </row>
    <row r="11" spans="1:20" ht="18" customHeight="1" thickBot="1" x14ac:dyDescent="0.4">
      <c r="A11" s="16" t="s">
        <v>14</v>
      </c>
      <c r="B11" s="13">
        <v>200</v>
      </c>
      <c r="G11" s="215"/>
      <c r="H11" s="18" t="s">
        <v>80</v>
      </c>
      <c r="I11" s="18">
        <f>B15*1000</f>
        <v>86000</v>
      </c>
      <c r="J11" s="18" t="s">
        <v>62</v>
      </c>
      <c r="K11" s="29">
        <f t="shared" si="0"/>
        <v>0.99537037037037035</v>
      </c>
      <c r="L11" s="77" t="s">
        <v>63</v>
      </c>
      <c r="M11" s="78" t="s">
        <v>190</v>
      </c>
      <c r="N11" s="24">
        <f>I11*365</f>
        <v>31390000</v>
      </c>
      <c r="O11" s="24" t="s">
        <v>184</v>
      </c>
      <c r="P11" s="84">
        <f>N11/1000</f>
        <v>31390</v>
      </c>
      <c r="Q11" s="79" t="str">
        <f t="shared" si="1"/>
        <v>m^3</v>
      </c>
    </row>
    <row r="12" spans="1:20" ht="18.600000000000001" customHeight="1" thickTop="1" thickBot="1" x14ac:dyDescent="0.4">
      <c r="A12" s="16" t="s">
        <v>15</v>
      </c>
      <c r="B12" s="13">
        <v>300</v>
      </c>
      <c r="G12" s="22" t="s">
        <v>64</v>
      </c>
      <c r="H12" s="23"/>
      <c r="I12" s="23"/>
      <c r="J12" s="23"/>
      <c r="K12" s="23"/>
      <c r="M12" s="80" t="s">
        <v>185</v>
      </c>
      <c r="N12" s="81">
        <f>SUM(N7:N11)*1.15</f>
        <v>1005477474.0282176</v>
      </c>
      <c r="O12" s="81" t="s">
        <v>184</v>
      </c>
      <c r="P12" s="85">
        <f>1.15*SUM(P7:P11)</f>
        <v>1005477.4740282175</v>
      </c>
      <c r="Q12" s="82" t="str">
        <f t="shared" si="1"/>
        <v>m^3</v>
      </c>
    </row>
    <row r="13" spans="1:20" ht="18" x14ac:dyDescent="0.35">
      <c r="A13" s="16" t="s">
        <v>59</v>
      </c>
      <c r="B13" s="15">
        <v>181</v>
      </c>
      <c r="M13" s="95"/>
      <c r="P13" s="83"/>
    </row>
    <row r="14" spans="1:20" ht="18" x14ac:dyDescent="0.3">
      <c r="A14" s="16" t="s">
        <v>60</v>
      </c>
      <c r="B14" s="15">
        <v>12</v>
      </c>
      <c r="L14" s="48"/>
    </row>
    <row r="15" spans="1:20" ht="18.600000000000001" thickBot="1" x14ac:dyDescent="0.35">
      <c r="A15" s="16" t="s">
        <v>61</v>
      </c>
      <c r="B15" s="15">
        <v>86</v>
      </c>
    </row>
    <row r="16" spans="1:20" ht="18.600000000000001" thickTop="1" x14ac:dyDescent="0.35">
      <c r="G16" s="209" t="s">
        <v>77</v>
      </c>
      <c r="H16" s="27" t="s">
        <v>81</v>
      </c>
      <c r="I16" s="27" t="s">
        <v>71</v>
      </c>
      <c r="J16" s="27" t="s">
        <v>72</v>
      </c>
      <c r="K16" s="27" t="s">
        <v>73</v>
      </c>
      <c r="L16" s="27" t="s">
        <v>65</v>
      </c>
      <c r="M16" s="27" t="s">
        <v>73</v>
      </c>
      <c r="N16" s="27" t="s">
        <v>71</v>
      </c>
      <c r="O16" s="27" t="s">
        <v>71</v>
      </c>
      <c r="P16" s="27" t="s">
        <v>65</v>
      </c>
      <c r="Q16" s="27" t="s">
        <v>74</v>
      </c>
      <c r="R16" s="27" t="s">
        <v>25</v>
      </c>
      <c r="S16" s="27" t="s">
        <v>75</v>
      </c>
      <c r="T16" s="27" t="s">
        <v>76</v>
      </c>
    </row>
    <row r="17" spans="7:20" ht="18" x14ac:dyDescent="0.35">
      <c r="G17" s="210"/>
      <c r="H17" s="24" t="s">
        <v>82</v>
      </c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</row>
    <row r="18" spans="7:20" ht="18" x14ac:dyDescent="0.35">
      <c r="G18" s="210"/>
      <c r="H18" s="24" t="s">
        <v>83</v>
      </c>
      <c r="I18" s="24"/>
      <c r="J18" s="24"/>
      <c r="K18" s="24"/>
      <c r="L18" s="24"/>
      <c r="M18" s="24"/>
      <c r="N18" s="28"/>
      <c r="O18" s="28"/>
      <c r="P18" s="28"/>
      <c r="Q18" s="28"/>
      <c r="R18" s="24"/>
      <c r="S18" s="24"/>
      <c r="T18" s="24"/>
    </row>
    <row r="19" spans="7:20" ht="18" x14ac:dyDescent="0.35">
      <c r="G19" s="210"/>
      <c r="H19" s="24" t="s">
        <v>84</v>
      </c>
      <c r="I19" s="24">
        <v>0</v>
      </c>
      <c r="J19" s="24">
        <v>0</v>
      </c>
      <c r="K19" s="24">
        <v>20</v>
      </c>
      <c r="L19" s="24">
        <v>45</v>
      </c>
      <c r="M19" s="24">
        <v>85</v>
      </c>
      <c r="N19" s="24">
        <v>100</v>
      </c>
      <c r="O19" s="24">
        <v>100</v>
      </c>
      <c r="P19" s="24">
        <v>100</v>
      </c>
      <c r="Q19" s="24">
        <v>100</v>
      </c>
      <c r="R19" s="24">
        <v>90</v>
      </c>
      <c r="S19" s="24">
        <v>60</v>
      </c>
      <c r="T19" s="24">
        <v>0</v>
      </c>
    </row>
    <row r="20" spans="7:20" ht="18" x14ac:dyDescent="0.35">
      <c r="G20" s="210"/>
      <c r="H20" s="24" t="s">
        <v>85</v>
      </c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7:20" ht="18.600000000000001" thickBot="1" x14ac:dyDescent="0.4">
      <c r="G21" s="215"/>
      <c r="H21" s="24" t="s">
        <v>86</v>
      </c>
      <c r="I21" s="28"/>
      <c r="J21" s="24"/>
      <c r="K21" s="24"/>
      <c r="L21" s="24"/>
      <c r="M21" s="24"/>
      <c r="N21" s="24"/>
      <c r="O21" s="24"/>
      <c r="P21" s="24"/>
      <c r="Q21" s="24"/>
      <c r="R21" s="28"/>
      <c r="S21" s="28"/>
      <c r="T21" s="28"/>
    </row>
    <row r="22" spans="7:20" ht="15" thickTop="1" x14ac:dyDescent="0.3">
      <c r="G22" t="s">
        <v>87</v>
      </c>
    </row>
    <row r="24" spans="7:20" ht="15" thickBot="1" x14ac:dyDescent="0.35"/>
    <row r="25" spans="7:20" ht="21.6" customHeight="1" x14ac:dyDescent="0.35">
      <c r="G25" s="205" t="s">
        <v>88</v>
      </c>
      <c r="H25" s="101"/>
      <c r="I25" s="26"/>
      <c r="J25" s="26"/>
      <c r="K25" s="204" t="s">
        <v>217</v>
      </c>
      <c r="L25" s="204"/>
      <c r="M25" s="26"/>
      <c r="N25" s="204" t="s">
        <v>218</v>
      </c>
      <c r="O25" s="204"/>
    </row>
    <row r="26" spans="7:20" ht="42.6" customHeight="1" x14ac:dyDescent="0.3">
      <c r="G26" s="206"/>
      <c r="H26" s="99" t="s">
        <v>89</v>
      </c>
      <c r="I26" s="98" t="s">
        <v>90</v>
      </c>
      <c r="J26" s="100" t="s">
        <v>196</v>
      </c>
      <c r="K26" s="159" t="s">
        <v>91</v>
      </c>
      <c r="L26" s="98" t="s">
        <v>92</v>
      </c>
      <c r="M26" s="98" t="s">
        <v>197</v>
      </c>
      <c r="N26" s="159" t="s">
        <v>91</v>
      </c>
      <c r="O26" s="98" t="s">
        <v>92</v>
      </c>
    </row>
    <row r="27" spans="7:20" ht="18" customHeight="1" x14ac:dyDescent="0.35">
      <c r="G27" s="206"/>
      <c r="H27" s="24" t="s">
        <v>82</v>
      </c>
      <c r="I27" s="30">
        <f>K7</f>
        <v>12.489154876732199</v>
      </c>
      <c r="J27" s="25">
        <v>1.5</v>
      </c>
      <c r="K27" s="30">
        <f>I27*J27</f>
        <v>18.733732315098298</v>
      </c>
      <c r="L27" s="30">
        <f>I27*J27</f>
        <v>18.733732315098298</v>
      </c>
      <c r="M27" s="25">
        <v>2</v>
      </c>
      <c r="N27" s="30">
        <f>I27*M27</f>
        <v>24.978309753464398</v>
      </c>
      <c r="O27" s="30">
        <f>I27*M27</f>
        <v>24.978309753464398</v>
      </c>
    </row>
    <row r="28" spans="7:20" ht="18" customHeight="1" x14ac:dyDescent="0.35">
      <c r="G28" s="206"/>
      <c r="H28" s="24" t="s">
        <v>83</v>
      </c>
      <c r="I28" s="30">
        <f t="shared" ref="I28:I31" si="2">K8</f>
        <v>7.9501284275995685</v>
      </c>
      <c r="J28" s="25">
        <v>1.2</v>
      </c>
      <c r="K28" s="30">
        <f t="shared" ref="K28:K30" si="3">I28*J28</f>
        <v>9.5401541131194811</v>
      </c>
      <c r="L28" s="33" t="s">
        <v>94</v>
      </c>
      <c r="M28" s="25">
        <v>1.5</v>
      </c>
      <c r="N28" s="30">
        <f t="shared" ref="N28:N30" si="4">I28*M28</f>
        <v>11.925192641399352</v>
      </c>
      <c r="O28" s="33" t="s">
        <v>94</v>
      </c>
    </row>
    <row r="29" spans="7:20" ht="18" customHeight="1" x14ac:dyDescent="0.35">
      <c r="G29" s="206"/>
      <c r="H29" s="24" t="s">
        <v>84</v>
      </c>
      <c r="I29" s="30">
        <f t="shared" si="2"/>
        <v>7.291666666666667</v>
      </c>
      <c r="J29" s="25">
        <v>1.1000000000000001</v>
      </c>
      <c r="K29" s="30">
        <f t="shared" si="3"/>
        <v>8.0208333333333339</v>
      </c>
      <c r="L29" s="30">
        <f>I29*J29</f>
        <v>8.0208333333333339</v>
      </c>
      <c r="M29" s="25">
        <v>1.5</v>
      </c>
      <c r="N29" s="30">
        <f t="shared" si="4"/>
        <v>10.9375</v>
      </c>
      <c r="O29" s="30">
        <f>I29*M29</f>
        <v>10.9375</v>
      </c>
    </row>
    <row r="30" spans="7:20" ht="18" customHeight="1" x14ac:dyDescent="0.35">
      <c r="G30" s="206"/>
      <c r="H30" s="24" t="s">
        <v>85</v>
      </c>
      <c r="I30" s="30">
        <f t="shared" si="2"/>
        <v>2.0949074074074074</v>
      </c>
      <c r="J30" s="25">
        <v>1</v>
      </c>
      <c r="K30" s="30">
        <f t="shared" si="3"/>
        <v>2.0949074074074074</v>
      </c>
      <c r="L30" s="30">
        <f t="shared" ref="L30:L31" si="5">I30*J30</f>
        <v>2.0949074074074074</v>
      </c>
      <c r="M30" s="25">
        <f>24/12</f>
        <v>2</v>
      </c>
      <c r="N30" s="30">
        <f t="shared" si="4"/>
        <v>4.1898148148148149</v>
      </c>
      <c r="O30" s="30">
        <f t="shared" ref="O30:O31" si="6">I30*M30</f>
        <v>4.1898148148148149</v>
      </c>
    </row>
    <row r="31" spans="7:20" ht="18.600000000000001" customHeight="1" x14ac:dyDescent="0.35">
      <c r="G31" s="206"/>
      <c r="H31" s="24" t="s">
        <v>86</v>
      </c>
      <c r="I31" s="30">
        <f t="shared" si="2"/>
        <v>0.99537037037037035</v>
      </c>
      <c r="J31" s="25">
        <v>1</v>
      </c>
      <c r="K31" s="33" t="s">
        <v>94</v>
      </c>
      <c r="L31" s="30">
        <f t="shared" si="5"/>
        <v>0.99537037037037035</v>
      </c>
      <c r="M31" s="25">
        <f>24/24</f>
        <v>1</v>
      </c>
      <c r="N31" s="33" t="s">
        <v>94</v>
      </c>
      <c r="O31" s="30">
        <f t="shared" si="6"/>
        <v>0.99537037037037035</v>
      </c>
    </row>
    <row r="32" spans="7:20" ht="18" customHeight="1" thickBot="1" x14ac:dyDescent="0.4">
      <c r="G32" s="207"/>
      <c r="H32" s="50" t="s">
        <v>93</v>
      </c>
      <c r="I32" s="31"/>
      <c r="J32" s="32"/>
      <c r="K32" s="31">
        <f>SUM(K27:K31)</f>
        <v>38.389627168958519</v>
      </c>
      <c r="L32" s="31">
        <f>SUM(L27:L31)</f>
        <v>29.844843426209408</v>
      </c>
      <c r="M32" s="32"/>
      <c r="N32" s="31">
        <f>SUM(N27:N31)</f>
        <v>52.030817209678567</v>
      </c>
      <c r="O32" s="31">
        <f>SUM(O27:O31)</f>
        <v>41.100994938649592</v>
      </c>
    </row>
    <row r="34" spans="7:12" ht="25.8" x14ac:dyDescent="0.5">
      <c r="G34" s="161" t="s">
        <v>331</v>
      </c>
      <c r="H34" s="160"/>
    </row>
    <row r="35" spans="7:12" ht="21" x14ac:dyDescent="0.4">
      <c r="G35" s="214" t="s">
        <v>219</v>
      </c>
      <c r="H35" s="214"/>
      <c r="I35" s="214"/>
      <c r="J35" s="214"/>
      <c r="K35" s="97">
        <f>K32</f>
        <v>38.389627168958519</v>
      </c>
      <c r="L35" s="96" t="s">
        <v>63</v>
      </c>
    </row>
    <row r="36" spans="7:12" ht="21" x14ac:dyDescent="0.4">
      <c r="G36" s="214" t="s">
        <v>220</v>
      </c>
      <c r="H36" s="214"/>
      <c r="I36" s="214"/>
      <c r="J36" s="214"/>
      <c r="K36" s="97">
        <f>N32</f>
        <v>52.030817209678567</v>
      </c>
      <c r="L36" s="96" t="s">
        <v>63</v>
      </c>
    </row>
  </sheetData>
  <mergeCells count="12">
    <mergeCell ref="G35:J35"/>
    <mergeCell ref="G36:J36"/>
    <mergeCell ref="G6:G11"/>
    <mergeCell ref="H6:K6"/>
    <mergeCell ref="G16:G21"/>
    <mergeCell ref="K25:L25"/>
    <mergeCell ref="N25:O25"/>
    <mergeCell ref="G25:G32"/>
    <mergeCell ref="A1:B1"/>
    <mergeCell ref="H2:I2"/>
    <mergeCell ref="G2:G4"/>
    <mergeCell ref="M6:Q6"/>
  </mergeCells>
  <phoneticPr fontId="5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ED1CC-0521-4959-8D4A-C9284E1D2E24}">
  <sheetPr>
    <tabColor rgb="FF0070C0"/>
  </sheetPr>
  <dimension ref="A1:V38"/>
  <sheetViews>
    <sheetView topLeftCell="C1" zoomScale="95" workbookViewId="0">
      <selection activeCell="H14" sqref="H14"/>
    </sheetView>
  </sheetViews>
  <sheetFormatPr defaultRowHeight="14.4" x14ac:dyDescent="0.3"/>
  <cols>
    <col min="1" max="2" width="0" hidden="1" customWidth="1"/>
    <col min="3" max="3" width="11.33203125" customWidth="1"/>
    <col min="4" max="4" width="45.109375" bestFit="1" customWidth="1"/>
    <col min="5" max="5" width="22" customWidth="1"/>
    <col min="6" max="6" width="17.109375" customWidth="1"/>
    <col min="7" max="7" width="12.6640625" bestFit="1" customWidth="1"/>
    <col min="8" max="8" width="18.109375" customWidth="1"/>
    <col min="9" max="9" width="11.33203125" customWidth="1"/>
    <col min="10" max="10" width="17.21875" customWidth="1"/>
    <col min="11" max="11" width="27.109375" customWidth="1"/>
    <col min="12" max="12" width="27.6640625" customWidth="1"/>
    <col min="14" max="14" width="8.88671875" customWidth="1"/>
    <col min="15" max="15" width="12.109375" customWidth="1"/>
    <col min="20" max="20" width="13.109375" customWidth="1"/>
    <col min="22" max="22" width="28.21875" customWidth="1"/>
  </cols>
  <sheetData>
    <row r="1" spans="1:22" ht="15" thickBot="1" x14ac:dyDescent="0.35">
      <c r="C1" s="219" t="s">
        <v>67</v>
      </c>
      <c r="D1" s="103" t="s">
        <v>199</v>
      </c>
      <c r="E1" s="42">
        <v>1150</v>
      </c>
      <c r="F1" s="43">
        <f>E1*1000/(24*60*60)</f>
        <v>13.310185185185185</v>
      </c>
      <c r="G1" s="36" t="s">
        <v>63</v>
      </c>
    </row>
    <row r="2" spans="1:22" ht="15" thickBot="1" x14ac:dyDescent="0.35">
      <c r="C2" s="219"/>
      <c r="D2" s="102" t="s">
        <v>105</v>
      </c>
      <c r="E2" s="112">
        <v>38.389627168958519</v>
      </c>
      <c r="F2" s="44"/>
      <c r="G2" s="36" t="s">
        <v>63</v>
      </c>
    </row>
    <row r="3" spans="1:22" ht="15" thickBot="1" x14ac:dyDescent="0.35">
      <c r="C3" s="219"/>
      <c r="D3" s="41" t="s">
        <v>200</v>
      </c>
      <c r="E3" s="42">
        <f>(E2*24*3600)/1000</f>
        <v>3316.863787398016</v>
      </c>
      <c r="F3" s="44"/>
      <c r="G3" s="36" t="s">
        <v>106</v>
      </c>
    </row>
    <row r="4" spans="1:22" ht="15" thickBot="1" x14ac:dyDescent="0.35">
      <c r="C4" s="219"/>
      <c r="D4" s="110" t="s">
        <v>203</v>
      </c>
      <c r="E4" s="47">
        <f>F1/E2</f>
        <v>0.34671306201034618</v>
      </c>
      <c r="F4" s="43">
        <f>E4*100</f>
        <v>34.671306201034618</v>
      </c>
      <c r="G4" s="111" t="s">
        <v>201</v>
      </c>
      <c r="H4">
        <f>E4*E2</f>
        <v>13.310185185185185</v>
      </c>
      <c r="I4" s="219" t="s">
        <v>77</v>
      </c>
      <c r="J4" s="229" t="s">
        <v>107</v>
      </c>
      <c r="K4" s="230"/>
      <c r="L4" s="231"/>
      <c r="N4" s="228" t="s">
        <v>111</v>
      </c>
      <c r="O4" s="228"/>
      <c r="P4" s="228"/>
      <c r="Q4" s="228"/>
      <c r="R4" s="228"/>
      <c r="S4" s="228"/>
      <c r="T4" s="228"/>
      <c r="U4" s="228"/>
    </row>
    <row r="5" spans="1:22" ht="15" thickBot="1" x14ac:dyDescent="0.35">
      <c r="A5" t="s">
        <v>5</v>
      </c>
      <c r="B5">
        <v>15</v>
      </c>
      <c r="C5" s="219"/>
      <c r="D5" s="108" t="s">
        <v>202</v>
      </c>
      <c r="E5" s="47">
        <f>E4/24</f>
        <v>1.4446377583764424E-2</v>
      </c>
      <c r="F5" s="43">
        <f>E5*100</f>
        <v>1.4446377583764425</v>
      </c>
      <c r="G5" s="109" t="s">
        <v>99</v>
      </c>
      <c r="I5" s="219"/>
      <c r="J5" s="36" t="s">
        <v>101</v>
      </c>
      <c r="K5" s="38">
        <f>(ABS(G19/100)+ABS(G28/100))*E3</f>
        <v>1359.8564451949287</v>
      </c>
      <c r="L5" s="36" t="s">
        <v>106</v>
      </c>
      <c r="N5" s="35">
        <v>1</v>
      </c>
      <c r="O5" s="225" t="s">
        <v>112</v>
      </c>
      <c r="P5" s="226"/>
      <c r="Q5" s="226"/>
      <c r="R5" s="226"/>
      <c r="S5" s="226"/>
      <c r="T5" s="226"/>
      <c r="U5" s="227"/>
    </row>
    <row r="6" spans="1:22" ht="15" thickBot="1" x14ac:dyDescent="0.35">
      <c r="C6" s="219"/>
      <c r="D6" s="103" t="s">
        <v>108</v>
      </c>
      <c r="E6" s="45">
        <v>15</v>
      </c>
      <c r="F6" s="43"/>
      <c r="G6" s="36" t="s">
        <v>100</v>
      </c>
      <c r="I6" s="219"/>
      <c r="J6" s="36" t="s">
        <v>102</v>
      </c>
      <c r="K6" s="38">
        <f>(((24/(24-9))*K9*4*3600)+(F1*4*3600))/1000</f>
        <v>769.49700997280422</v>
      </c>
      <c r="L6" s="36" t="s">
        <v>106</v>
      </c>
      <c r="N6" s="35">
        <v>2</v>
      </c>
      <c r="O6" s="225" t="s">
        <v>113</v>
      </c>
      <c r="P6" s="226"/>
      <c r="Q6" s="226"/>
      <c r="R6" s="226"/>
      <c r="S6" s="226"/>
      <c r="T6" s="226"/>
      <c r="U6" s="227"/>
    </row>
    <row r="7" spans="1:22" ht="15" thickBot="1" x14ac:dyDescent="0.35">
      <c r="C7" s="219"/>
      <c r="D7" s="110" t="s">
        <v>204</v>
      </c>
      <c r="E7" s="42">
        <f>1-E4</f>
        <v>0.65328693798965376</v>
      </c>
      <c r="F7" s="43">
        <f>E7*100</f>
        <v>65.328693798965375</v>
      </c>
      <c r="G7" s="111" t="s">
        <v>201</v>
      </c>
      <c r="H7">
        <f>E7*E2</f>
        <v>25.079441983773332</v>
      </c>
      <c r="I7" s="219"/>
      <c r="J7" s="36" t="s">
        <v>103</v>
      </c>
      <c r="K7" s="36">
        <f>(5*2*4*3600)/1000</f>
        <v>144</v>
      </c>
      <c r="L7" s="36" t="s">
        <v>106</v>
      </c>
      <c r="N7" s="35">
        <v>3</v>
      </c>
      <c r="O7" s="225" t="s">
        <v>114</v>
      </c>
      <c r="P7" s="226"/>
      <c r="Q7" s="226"/>
      <c r="R7" s="226"/>
      <c r="S7" s="226"/>
      <c r="T7" s="226"/>
      <c r="U7" s="227"/>
    </row>
    <row r="8" spans="1:22" ht="15" thickBot="1" x14ac:dyDescent="0.35">
      <c r="C8" s="219"/>
      <c r="D8" s="108" t="s">
        <v>205</v>
      </c>
      <c r="E8" s="42">
        <f>E7/E6</f>
        <v>4.3552462532643582E-2</v>
      </c>
      <c r="F8" s="43">
        <f>E8*100</f>
        <v>4.3552462532643581</v>
      </c>
      <c r="G8" s="109" t="s">
        <v>99</v>
      </c>
      <c r="I8" s="219"/>
      <c r="J8" s="36" t="s">
        <v>104</v>
      </c>
      <c r="K8" s="38">
        <f>K5+K6</f>
        <v>2129.353455167733</v>
      </c>
      <c r="L8" s="36" t="s">
        <v>106</v>
      </c>
      <c r="N8" s="35">
        <v>4</v>
      </c>
      <c r="O8" s="225" t="s">
        <v>115</v>
      </c>
      <c r="P8" s="226"/>
      <c r="Q8" s="226"/>
      <c r="R8" s="226"/>
      <c r="S8" s="226"/>
      <c r="T8" s="226"/>
      <c r="U8" s="227"/>
      <c r="V8" s="48" t="s">
        <v>118</v>
      </c>
    </row>
    <row r="9" spans="1:22" ht="15" thickBot="1" x14ac:dyDescent="0.35">
      <c r="C9" s="219"/>
      <c r="D9" s="103" t="s">
        <v>206</v>
      </c>
      <c r="E9" s="45">
        <v>3</v>
      </c>
      <c r="F9" s="44"/>
      <c r="G9" s="41" t="s">
        <v>120</v>
      </c>
      <c r="I9" s="219"/>
      <c r="J9" s="36" t="s">
        <v>117</v>
      </c>
      <c r="K9" s="38">
        <f>E7*E2</f>
        <v>25.079441983773332</v>
      </c>
      <c r="L9" s="36" t="s">
        <v>63</v>
      </c>
      <c r="N9" s="35">
        <v>5</v>
      </c>
      <c r="O9" s="225" t="s">
        <v>116</v>
      </c>
      <c r="P9" s="226"/>
      <c r="Q9" s="226"/>
      <c r="R9" s="226"/>
      <c r="S9" s="226"/>
      <c r="T9" s="226"/>
      <c r="U9" s="227"/>
    </row>
    <row r="10" spans="1:22" ht="15" thickBot="1" x14ac:dyDescent="0.35">
      <c r="I10" s="48"/>
      <c r="O10" s="224"/>
      <c r="P10" s="224"/>
      <c r="Q10" s="224"/>
      <c r="R10" s="224"/>
      <c r="S10" s="224"/>
      <c r="T10" s="224"/>
    </row>
    <row r="11" spans="1:22" ht="15" thickBot="1" x14ac:dyDescent="0.35">
      <c r="C11" s="232" t="s">
        <v>68</v>
      </c>
      <c r="D11" s="233"/>
      <c r="E11" s="233"/>
      <c r="F11" s="233"/>
      <c r="G11" s="234"/>
    </row>
    <row r="12" spans="1:22" ht="15" thickBot="1" x14ac:dyDescent="0.35">
      <c r="C12" s="41" t="s">
        <v>95</v>
      </c>
      <c r="D12" s="41" t="s">
        <v>96</v>
      </c>
      <c r="E12" s="41" t="s">
        <v>97</v>
      </c>
      <c r="F12" s="41" t="s">
        <v>98</v>
      </c>
      <c r="G12" s="41" t="s">
        <v>109</v>
      </c>
      <c r="J12" s="46"/>
    </row>
    <row r="13" spans="1:22" ht="15" thickBot="1" x14ac:dyDescent="0.35">
      <c r="A13" s="34">
        <v>0</v>
      </c>
      <c r="B13" s="34">
        <f>A13+("1:00")</f>
        <v>4.1666666666666664E-2</v>
      </c>
      <c r="C13" s="37"/>
      <c r="D13" s="36">
        <v>2</v>
      </c>
      <c r="E13" s="38">
        <f>$F$5</f>
        <v>1.4446377583764425</v>
      </c>
      <c r="F13" s="38">
        <f>$F$8</f>
        <v>4.3552462532643581</v>
      </c>
      <c r="G13" s="38">
        <f>(E13+F13)-D13</f>
        <v>3.7998840116408008</v>
      </c>
      <c r="I13" s="221" t="s">
        <v>88</v>
      </c>
      <c r="J13" s="220" t="s">
        <v>119</v>
      </c>
      <c r="K13" s="220"/>
      <c r="L13" s="220"/>
    </row>
    <row r="14" spans="1:22" ht="15" thickBot="1" x14ac:dyDescent="0.35">
      <c r="A14" s="34">
        <v>4.1666666666666699E-2</v>
      </c>
      <c r="B14" s="34">
        <f>B13+("1:00")</f>
        <v>8.3333333333333329E-2</v>
      </c>
      <c r="C14" s="37">
        <v>44958</v>
      </c>
      <c r="D14" s="36">
        <v>2</v>
      </c>
      <c r="E14" s="38">
        <f t="shared" ref="E14:E36" si="0">$F$5</f>
        <v>1.4446377583764425</v>
      </c>
      <c r="F14" s="38">
        <f t="shared" ref="F14:F19" si="1">$F$8</f>
        <v>4.3552462532643581</v>
      </c>
      <c r="G14" s="38">
        <f t="shared" ref="G14:G36" si="2">(G13+E14+F14)-D14</f>
        <v>7.5997680232816016</v>
      </c>
      <c r="I14" s="222"/>
      <c r="J14" s="36" t="s">
        <v>122</v>
      </c>
      <c r="K14" s="38">
        <f>K8</f>
        <v>2129.353455167733</v>
      </c>
      <c r="L14" s="36" t="s">
        <v>106</v>
      </c>
    </row>
    <row r="15" spans="1:22" ht="15" thickBot="1" x14ac:dyDescent="0.35">
      <c r="A15" s="34">
        <v>8.3333333333333301E-2</v>
      </c>
      <c r="B15" s="34">
        <f t="shared" ref="B15:B36" si="3">B14+("1:00")</f>
        <v>0.125</v>
      </c>
      <c r="C15" s="37" t="str">
        <f t="shared" ref="C15:C36" si="4">CONCATENATE(TEXT(A15,"HH:MM"),"-",TEXT(B15,"HH:MM"))</f>
        <v>HH:MM-HH:MM</v>
      </c>
      <c r="D15" s="36">
        <v>2</v>
      </c>
      <c r="E15" s="38">
        <f t="shared" si="0"/>
        <v>1.4446377583764425</v>
      </c>
      <c r="F15" s="38">
        <f t="shared" si="1"/>
        <v>4.3552462532643581</v>
      </c>
      <c r="G15" s="38">
        <f t="shared" si="2"/>
        <v>11.399652034922402</v>
      </c>
      <c r="I15" s="223"/>
      <c r="J15" s="36" t="s">
        <v>121</v>
      </c>
      <c r="K15" s="38">
        <f>K14/E9</f>
        <v>709.78448505591098</v>
      </c>
      <c r="L15" s="36" t="s">
        <v>123</v>
      </c>
    </row>
    <row r="16" spans="1:22" ht="15" thickBot="1" x14ac:dyDescent="0.35">
      <c r="A16" s="34">
        <v>0.125</v>
      </c>
      <c r="B16" s="34">
        <f t="shared" si="3"/>
        <v>0.16666666666666666</v>
      </c>
      <c r="C16" s="37" t="str">
        <f t="shared" si="4"/>
        <v>HH:MM-HH:MM</v>
      </c>
      <c r="D16" s="36">
        <v>2</v>
      </c>
      <c r="E16" s="38">
        <f t="shared" si="0"/>
        <v>1.4446377583764425</v>
      </c>
      <c r="F16" s="38">
        <f t="shared" si="1"/>
        <v>4.3552462532643581</v>
      </c>
      <c r="G16" s="38">
        <f t="shared" si="2"/>
        <v>15.199536046563203</v>
      </c>
    </row>
    <row r="17" spans="1:7" ht="15" thickBot="1" x14ac:dyDescent="0.35">
      <c r="A17" s="34">
        <v>0.16666666666666699</v>
      </c>
      <c r="B17" s="34">
        <f t="shared" si="3"/>
        <v>0.20833333333333331</v>
      </c>
      <c r="C17" s="37" t="str">
        <f t="shared" si="4"/>
        <v>HH:MM-HH:MM</v>
      </c>
      <c r="D17" s="36">
        <v>3</v>
      </c>
      <c r="E17" s="38">
        <f t="shared" si="0"/>
        <v>1.4446377583764425</v>
      </c>
      <c r="F17" s="38">
        <f t="shared" si="1"/>
        <v>4.3552462532643581</v>
      </c>
      <c r="G17" s="38">
        <f t="shared" si="2"/>
        <v>17.999420058204002</v>
      </c>
    </row>
    <row r="18" spans="1:7" ht="15" thickBot="1" x14ac:dyDescent="0.35">
      <c r="A18" s="34">
        <v>0.20833333333333301</v>
      </c>
      <c r="B18" s="34">
        <f t="shared" si="3"/>
        <v>0.24999999999999997</v>
      </c>
      <c r="C18" s="37" t="str">
        <f t="shared" si="4"/>
        <v>HH:MM-HH:MM</v>
      </c>
      <c r="D18" s="36">
        <v>3</v>
      </c>
      <c r="E18" s="38">
        <f t="shared" si="0"/>
        <v>1.4446377583764425</v>
      </c>
      <c r="F18" s="38">
        <f t="shared" si="1"/>
        <v>4.3552462532643581</v>
      </c>
      <c r="G18" s="38">
        <f t="shared" si="2"/>
        <v>20.799304069844801</v>
      </c>
    </row>
    <row r="19" spans="1:7" ht="16.2" thickBot="1" x14ac:dyDescent="0.35">
      <c r="A19" s="34">
        <v>0.25</v>
      </c>
      <c r="B19" s="34">
        <f t="shared" si="3"/>
        <v>0.29166666666666663</v>
      </c>
      <c r="C19" s="37" t="str">
        <f t="shared" si="4"/>
        <v>HH:MM-HH:MM</v>
      </c>
      <c r="D19" s="36">
        <v>4</v>
      </c>
      <c r="E19" s="38">
        <f t="shared" si="0"/>
        <v>1.4446377583764425</v>
      </c>
      <c r="F19" s="38">
        <f t="shared" si="1"/>
        <v>4.3552462532643581</v>
      </c>
      <c r="G19" s="40">
        <f t="shared" si="2"/>
        <v>22.5991880814856</v>
      </c>
    </row>
    <row r="20" spans="1:7" ht="15" thickBot="1" x14ac:dyDescent="0.35">
      <c r="A20" s="34">
        <v>0.29166666666666702</v>
      </c>
      <c r="B20" s="34">
        <f t="shared" si="3"/>
        <v>0.33333333333333331</v>
      </c>
      <c r="C20" s="37" t="str">
        <f t="shared" si="4"/>
        <v>HH:MM-HH:MM</v>
      </c>
      <c r="D20" s="36">
        <v>5</v>
      </c>
      <c r="E20" s="38">
        <f t="shared" si="0"/>
        <v>1.4446377583764425</v>
      </c>
      <c r="F20" s="39">
        <v>0</v>
      </c>
      <c r="G20" s="38">
        <f t="shared" si="2"/>
        <v>19.043825839862041</v>
      </c>
    </row>
    <row r="21" spans="1:7" ht="15" thickBot="1" x14ac:dyDescent="0.35">
      <c r="A21" s="34">
        <v>0.33333333333333298</v>
      </c>
      <c r="B21" s="34">
        <f t="shared" si="3"/>
        <v>0.375</v>
      </c>
      <c r="C21" s="37" t="str">
        <f t="shared" si="4"/>
        <v>HH:MM-HH:MM</v>
      </c>
      <c r="D21" s="36">
        <v>5</v>
      </c>
      <c r="E21" s="38">
        <f t="shared" si="0"/>
        <v>1.4446377583764425</v>
      </c>
      <c r="F21" s="39">
        <v>0</v>
      </c>
      <c r="G21" s="38">
        <f t="shared" si="2"/>
        <v>15.488463598238482</v>
      </c>
    </row>
    <row r="22" spans="1:7" ht="15" thickBot="1" x14ac:dyDescent="0.35">
      <c r="A22" s="34">
        <v>0.375</v>
      </c>
      <c r="B22" s="34">
        <f t="shared" si="3"/>
        <v>0.41666666666666669</v>
      </c>
      <c r="C22" s="37" t="str">
        <f t="shared" si="4"/>
        <v>HH:MM-HH:MM</v>
      </c>
      <c r="D22" s="36">
        <v>6</v>
      </c>
      <c r="E22" s="38">
        <f t="shared" si="0"/>
        <v>1.4446377583764425</v>
      </c>
      <c r="F22" s="39">
        <v>0</v>
      </c>
      <c r="G22" s="38">
        <f t="shared" si="2"/>
        <v>10.933101356614923</v>
      </c>
    </row>
    <row r="23" spans="1:7" ht="15" thickBot="1" x14ac:dyDescent="0.35">
      <c r="A23" s="34">
        <v>0.41666666666666702</v>
      </c>
      <c r="B23" s="34">
        <f t="shared" si="3"/>
        <v>0.45833333333333337</v>
      </c>
      <c r="C23" s="37" t="str">
        <f t="shared" si="4"/>
        <v>HH:MM-HH:MM</v>
      </c>
      <c r="D23" s="36">
        <v>7</v>
      </c>
      <c r="E23" s="38">
        <f t="shared" si="0"/>
        <v>1.4446377583764425</v>
      </c>
      <c r="F23" s="39">
        <v>0</v>
      </c>
      <c r="G23" s="38">
        <f t="shared" si="2"/>
        <v>5.3777391149913658</v>
      </c>
    </row>
    <row r="24" spans="1:7" ht="15" thickBot="1" x14ac:dyDescent="0.35">
      <c r="A24" s="34">
        <v>0.45833333333333298</v>
      </c>
      <c r="B24" s="34">
        <f t="shared" si="3"/>
        <v>0.5</v>
      </c>
      <c r="C24" s="37" t="str">
        <f t="shared" si="4"/>
        <v>HH:MM-HH:MM</v>
      </c>
      <c r="D24" s="36">
        <v>7</v>
      </c>
      <c r="E24" s="38">
        <f t="shared" si="0"/>
        <v>1.4446377583764425</v>
      </c>
      <c r="F24" s="39">
        <v>0</v>
      </c>
      <c r="G24" s="38">
        <f t="shared" si="2"/>
        <v>-0.17762312663219149</v>
      </c>
    </row>
    <row r="25" spans="1:7" ht="15" thickBot="1" x14ac:dyDescent="0.35">
      <c r="A25" s="34">
        <v>0.5</v>
      </c>
      <c r="B25" s="34">
        <f t="shared" si="3"/>
        <v>0.54166666666666663</v>
      </c>
      <c r="C25" s="37" t="str">
        <f t="shared" si="4"/>
        <v>HH:MM-HH:MM</v>
      </c>
      <c r="D25" s="36">
        <v>8</v>
      </c>
      <c r="E25" s="38">
        <f t="shared" si="0"/>
        <v>1.4446377583764425</v>
      </c>
      <c r="F25" s="39">
        <v>0</v>
      </c>
      <c r="G25" s="38">
        <f t="shared" si="2"/>
        <v>-6.7329853682557488</v>
      </c>
    </row>
    <row r="26" spans="1:7" ht="15" thickBot="1" x14ac:dyDescent="0.35">
      <c r="A26" s="34">
        <v>0.54166666666666696</v>
      </c>
      <c r="B26" s="34">
        <f t="shared" si="3"/>
        <v>0.58333333333333326</v>
      </c>
      <c r="C26" s="37" t="str">
        <f t="shared" si="4"/>
        <v>HH:MM-HH:MM</v>
      </c>
      <c r="D26" s="36">
        <v>6</v>
      </c>
      <c r="E26" s="38">
        <f t="shared" si="0"/>
        <v>1.4446377583764425</v>
      </c>
      <c r="F26" s="39">
        <v>0</v>
      </c>
      <c r="G26" s="38">
        <f t="shared" si="2"/>
        <v>-11.288347609879306</v>
      </c>
    </row>
    <row r="27" spans="1:7" ht="15" thickBot="1" x14ac:dyDescent="0.35">
      <c r="A27" s="34">
        <v>0.58333333333333304</v>
      </c>
      <c r="B27" s="34">
        <f t="shared" si="3"/>
        <v>0.62499999999999989</v>
      </c>
      <c r="C27" s="37" t="str">
        <f t="shared" si="4"/>
        <v>HH:MM-HH:MM</v>
      </c>
      <c r="D27" s="36">
        <v>5</v>
      </c>
      <c r="E27" s="38">
        <f t="shared" si="0"/>
        <v>1.4446377583764425</v>
      </c>
      <c r="F27" s="39">
        <v>0</v>
      </c>
      <c r="G27" s="38">
        <f t="shared" si="2"/>
        <v>-14.843709851502863</v>
      </c>
    </row>
    <row r="28" spans="1:7" ht="16.2" thickBot="1" x14ac:dyDescent="0.35">
      <c r="A28" s="34">
        <v>0.625</v>
      </c>
      <c r="B28" s="34">
        <f t="shared" si="3"/>
        <v>0.66666666666666652</v>
      </c>
      <c r="C28" s="37" t="str">
        <f t="shared" si="4"/>
        <v>HH:MM-HH:MM</v>
      </c>
      <c r="D28" s="36">
        <v>5</v>
      </c>
      <c r="E28" s="38">
        <f t="shared" si="0"/>
        <v>1.4446377583764425</v>
      </c>
      <c r="F28" s="39">
        <v>0</v>
      </c>
      <c r="G28" s="40">
        <f t="shared" si="2"/>
        <v>-18.399072093126421</v>
      </c>
    </row>
    <row r="29" spans="1:7" ht="15" thickBot="1" x14ac:dyDescent="0.35">
      <c r="A29" s="34">
        <v>0.66666666666666696</v>
      </c>
      <c r="B29" s="34">
        <f t="shared" si="3"/>
        <v>0.70833333333333315</v>
      </c>
      <c r="C29" s="37" t="str">
        <f t="shared" si="4"/>
        <v>HH:MM-HH:MM</v>
      </c>
      <c r="D29" s="36">
        <v>5</v>
      </c>
      <c r="E29" s="38">
        <f t="shared" si="0"/>
        <v>1.4446377583764425</v>
      </c>
      <c r="F29" s="38">
        <f>$F$8</f>
        <v>4.3552462532643581</v>
      </c>
      <c r="G29" s="38">
        <f t="shared" si="2"/>
        <v>-17.599188081485622</v>
      </c>
    </row>
    <row r="30" spans="1:7" ht="15" thickBot="1" x14ac:dyDescent="0.35">
      <c r="A30" s="34">
        <v>0.70833333333333304</v>
      </c>
      <c r="B30" s="34">
        <f t="shared" si="3"/>
        <v>0.74999999999999978</v>
      </c>
      <c r="C30" s="37" t="str">
        <f t="shared" si="4"/>
        <v>HH:MM-HH:MM</v>
      </c>
      <c r="D30" s="36">
        <v>6</v>
      </c>
      <c r="E30" s="38">
        <f t="shared" si="0"/>
        <v>1.4446377583764425</v>
      </c>
      <c r="F30" s="38">
        <f t="shared" ref="F30:F36" si="5">$F$8</f>
        <v>4.3552462532643581</v>
      </c>
      <c r="G30" s="38">
        <f t="shared" si="2"/>
        <v>-17.799304069844823</v>
      </c>
    </row>
    <row r="31" spans="1:7" ht="15" thickBot="1" x14ac:dyDescent="0.35">
      <c r="A31" s="34">
        <v>0.75</v>
      </c>
      <c r="B31" s="34">
        <f t="shared" si="3"/>
        <v>0.79166666666666641</v>
      </c>
      <c r="C31" s="37" t="str">
        <f t="shared" si="4"/>
        <v>HH:MM-HH:MM</v>
      </c>
      <c r="D31" s="36">
        <v>4</v>
      </c>
      <c r="E31" s="38">
        <f t="shared" si="0"/>
        <v>1.4446377583764425</v>
      </c>
      <c r="F31" s="38">
        <f t="shared" si="5"/>
        <v>4.3552462532643581</v>
      </c>
      <c r="G31" s="38">
        <f t="shared" si="2"/>
        <v>-15.999420058204024</v>
      </c>
    </row>
    <row r="32" spans="1:7" ht="15" thickBot="1" x14ac:dyDescent="0.35">
      <c r="A32" s="34">
        <v>0.79166666666666696</v>
      </c>
      <c r="B32" s="34">
        <f t="shared" si="3"/>
        <v>0.83333333333333304</v>
      </c>
      <c r="C32" s="37" t="str">
        <f t="shared" si="4"/>
        <v>HH:MM-HH:MM</v>
      </c>
      <c r="D32" s="36">
        <v>4</v>
      </c>
      <c r="E32" s="38">
        <f t="shared" si="0"/>
        <v>1.4446377583764425</v>
      </c>
      <c r="F32" s="38">
        <f t="shared" si="5"/>
        <v>4.3552462532643581</v>
      </c>
      <c r="G32" s="38">
        <f t="shared" si="2"/>
        <v>-14.199536046563223</v>
      </c>
    </row>
    <row r="33" spans="1:9" ht="15" thickBot="1" x14ac:dyDescent="0.35">
      <c r="A33" s="34">
        <v>0.83333333333333304</v>
      </c>
      <c r="B33" s="34">
        <f t="shared" si="3"/>
        <v>0.87499999999999967</v>
      </c>
      <c r="C33" s="37" t="str">
        <f t="shared" si="4"/>
        <v>HH:MM-HH:MM</v>
      </c>
      <c r="D33" s="36">
        <v>3</v>
      </c>
      <c r="E33" s="38">
        <f t="shared" si="0"/>
        <v>1.4446377583764425</v>
      </c>
      <c r="F33" s="38">
        <f t="shared" si="5"/>
        <v>4.3552462532643581</v>
      </c>
      <c r="G33" s="38">
        <f t="shared" si="2"/>
        <v>-11.399652034922422</v>
      </c>
    </row>
    <row r="34" spans="1:9" ht="15" thickBot="1" x14ac:dyDescent="0.35">
      <c r="A34" s="34">
        <v>0.875</v>
      </c>
      <c r="B34" s="34">
        <f t="shared" si="3"/>
        <v>0.9166666666666663</v>
      </c>
      <c r="C34" s="37" t="str">
        <f t="shared" si="4"/>
        <v>HH:MM-HH:MM</v>
      </c>
      <c r="D34" s="36">
        <v>2</v>
      </c>
      <c r="E34" s="38">
        <f t="shared" si="0"/>
        <v>1.4446377583764425</v>
      </c>
      <c r="F34" s="38">
        <f t="shared" si="5"/>
        <v>4.3552462532643581</v>
      </c>
      <c r="G34" s="38">
        <f t="shared" si="2"/>
        <v>-7.5997680232816212</v>
      </c>
    </row>
    <row r="35" spans="1:9" ht="15" thickBot="1" x14ac:dyDescent="0.35">
      <c r="A35" s="34">
        <v>0.91666666666666696</v>
      </c>
      <c r="B35" s="34">
        <f t="shared" si="3"/>
        <v>0.95833333333333293</v>
      </c>
      <c r="C35" s="37" t="str">
        <f t="shared" si="4"/>
        <v>HH:MM-HH:MM</v>
      </c>
      <c r="D35" s="36">
        <v>2</v>
      </c>
      <c r="E35" s="38">
        <f t="shared" si="0"/>
        <v>1.4446377583764425</v>
      </c>
      <c r="F35" s="38">
        <f t="shared" si="5"/>
        <v>4.3552462532643581</v>
      </c>
      <c r="G35" s="38">
        <f t="shared" si="2"/>
        <v>-3.7998840116408203</v>
      </c>
    </row>
    <row r="36" spans="1:9" ht="15" thickBot="1" x14ac:dyDescent="0.35">
      <c r="A36" s="34">
        <v>0.95833333333333304</v>
      </c>
      <c r="B36" s="34">
        <f t="shared" si="3"/>
        <v>0.99999999999999956</v>
      </c>
      <c r="C36" s="37" t="str">
        <f t="shared" si="4"/>
        <v>HH:MM-HH:MM</v>
      </c>
      <c r="D36" s="36">
        <v>2</v>
      </c>
      <c r="E36" s="38">
        <f t="shared" si="0"/>
        <v>1.4446377583764425</v>
      </c>
      <c r="F36" s="38">
        <f t="shared" si="5"/>
        <v>4.3552462532643581</v>
      </c>
      <c r="G36" s="38">
        <f t="shared" si="2"/>
        <v>-1.9539925233402755E-14</v>
      </c>
    </row>
    <row r="38" spans="1:9" x14ac:dyDescent="0.3">
      <c r="D38" s="218" t="s">
        <v>110</v>
      </c>
      <c r="E38" s="218"/>
      <c r="F38" s="218"/>
      <c r="G38" s="218"/>
      <c r="H38" s="218"/>
      <c r="I38" s="218"/>
    </row>
  </sheetData>
  <mergeCells count="14">
    <mergeCell ref="D38:I38"/>
    <mergeCell ref="C1:C9"/>
    <mergeCell ref="J13:L13"/>
    <mergeCell ref="I13:I15"/>
    <mergeCell ref="O10:T10"/>
    <mergeCell ref="O5:U5"/>
    <mergeCell ref="O6:U6"/>
    <mergeCell ref="O7:U7"/>
    <mergeCell ref="O8:U8"/>
    <mergeCell ref="O9:U9"/>
    <mergeCell ref="N4:U4"/>
    <mergeCell ref="J4:L4"/>
    <mergeCell ref="I4:I9"/>
    <mergeCell ref="C11:G11"/>
  </mergeCells>
  <phoneticPr fontId="5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9D077-3A16-4FA4-ABE1-740270B72E4F}">
  <sheetPr>
    <tabColor theme="9"/>
  </sheetPr>
  <dimension ref="A1:AD54"/>
  <sheetViews>
    <sheetView tabSelected="1" topLeftCell="A32" zoomScale="81" zoomScaleNormal="81" workbookViewId="0">
      <selection activeCell="F51" sqref="F51"/>
    </sheetView>
  </sheetViews>
  <sheetFormatPr defaultRowHeight="14.4" x14ac:dyDescent="0.3"/>
  <cols>
    <col min="2" max="2" width="49.44140625" customWidth="1"/>
    <col min="3" max="3" width="27.33203125" customWidth="1"/>
    <col min="4" max="4" width="22.77734375" bestFit="1" customWidth="1"/>
    <col min="5" max="5" width="50.21875" bestFit="1" customWidth="1"/>
    <col min="6" max="6" width="84.44140625" bestFit="1" customWidth="1"/>
    <col min="7" max="7" width="81.109375" bestFit="1" customWidth="1"/>
    <col min="8" max="8" width="13.109375" customWidth="1"/>
    <col min="9" max="9" width="10.109375" bestFit="1" customWidth="1"/>
    <col min="10" max="10" width="72.88671875" bestFit="1" customWidth="1"/>
    <col min="11" max="11" width="9.21875" bestFit="1" customWidth="1"/>
    <col min="12" max="12" width="12.88671875" customWidth="1"/>
    <col min="13" max="13" width="16.77734375" customWidth="1"/>
    <col min="14" max="14" width="25.33203125" customWidth="1"/>
    <col min="15" max="15" width="9.109375" bestFit="1" customWidth="1"/>
    <col min="16" max="16" width="15" customWidth="1"/>
    <col min="17" max="17" width="17.6640625" customWidth="1"/>
    <col min="18" max="18" width="14.88671875" bestFit="1" customWidth="1"/>
    <col min="19" max="19" width="13.33203125" customWidth="1"/>
    <col min="20" max="20" width="13.77734375" customWidth="1"/>
    <col min="21" max="21" width="13.21875" customWidth="1"/>
    <col min="22" max="22" width="9.109375" bestFit="1" customWidth="1"/>
    <col min="23" max="23" width="19" bestFit="1" customWidth="1"/>
    <col min="24" max="24" width="18.5546875" bestFit="1" customWidth="1"/>
    <col min="25" max="25" width="15.33203125" bestFit="1" customWidth="1"/>
    <col min="26" max="26" width="14.6640625" customWidth="1"/>
    <col min="27" max="27" width="17.6640625" bestFit="1" customWidth="1"/>
    <col min="28" max="29" width="20.33203125" bestFit="1" customWidth="1"/>
    <col min="30" max="30" width="22.6640625" bestFit="1" customWidth="1"/>
  </cols>
  <sheetData>
    <row r="1" spans="1:20" ht="16.2" thickBot="1" x14ac:dyDescent="0.35">
      <c r="A1" s="221" t="s">
        <v>67</v>
      </c>
      <c r="B1" s="246" t="s">
        <v>134</v>
      </c>
      <c r="C1" s="246"/>
      <c r="D1" s="246"/>
      <c r="E1" s="54"/>
      <c r="F1" s="51" t="s">
        <v>138</v>
      </c>
      <c r="G1" s="236" t="s">
        <v>210</v>
      </c>
      <c r="H1" s="237"/>
      <c r="I1" s="237"/>
      <c r="J1" s="237"/>
      <c r="K1" s="237"/>
      <c r="L1" s="237"/>
      <c r="M1" s="237"/>
    </row>
    <row r="2" spans="1:20" ht="15" thickBot="1" x14ac:dyDescent="0.35">
      <c r="A2" s="222"/>
      <c r="B2" s="52" t="s">
        <v>139</v>
      </c>
      <c r="C2" s="52">
        <f>250-230+1+40</f>
        <v>61</v>
      </c>
      <c r="D2" s="52" t="s">
        <v>120</v>
      </c>
      <c r="E2" s="55"/>
      <c r="F2" s="36" t="s">
        <v>135</v>
      </c>
      <c r="G2" s="36" t="s">
        <v>212</v>
      </c>
      <c r="H2" s="41">
        <v>250</v>
      </c>
      <c r="I2" s="41" t="s">
        <v>120</v>
      </c>
      <c r="J2" s="36" t="s">
        <v>19</v>
      </c>
      <c r="K2" s="36">
        <v>-47</v>
      </c>
      <c r="L2" s="41" t="s">
        <v>120</v>
      </c>
    </row>
    <row r="3" spans="1:20" ht="15" thickBot="1" x14ac:dyDescent="0.35">
      <c r="A3" s="222"/>
      <c r="B3" s="52" t="s">
        <v>140</v>
      </c>
      <c r="C3" s="52">
        <f>234-200+40</f>
        <v>74</v>
      </c>
      <c r="D3" s="52" t="s">
        <v>120</v>
      </c>
      <c r="E3" s="122"/>
      <c r="F3" s="36" t="s">
        <v>335</v>
      </c>
      <c r="G3" s="36" t="s">
        <v>213</v>
      </c>
      <c r="H3" s="41">
        <v>230</v>
      </c>
      <c r="I3" s="41" t="s">
        <v>120</v>
      </c>
      <c r="J3" s="36" t="s">
        <v>156</v>
      </c>
      <c r="K3" s="36">
        <v>1700</v>
      </c>
      <c r="L3" s="41" t="s">
        <v>153</v>
      </c>
      <c r="N3" s="61"/>
      <c r="O3" s="61"/>
      <c r="P3" s="61"/>
      <c r="Q3" s="61"/>
      <c r="R3" s="61"/>
      <c r="S3" s="61"/>
      <c r="T3" s="61"/>
    </row>
    <row r="4" spans="1:20" ht="15" thickBot="1" x14ac:dyDescent="0.35">
      <c r="A4" s="222"/>
      <c r="B4" s="52"/>
      <c r="C4" s="52"/>
      <c r="D4" s="52"/>
      <c r="E4" s="122"/>
      <c r="F4" s="259"/>
      <c r="G4" s="36"/>
      <c r="H4" s="41"/>
      <c r="I4" s="41"/>
      <c r="J4" s="36"/>
      <c r="K4" s="36"/>
      <c r="L4" s="41"/>
      <c r="N4" s="61"/>
      <c r="O4" s="61"/>
      <c r="P4" s="61"/>
      <c r="Q4" s="61"/>
      <c r="R4" s="61"/>
      <c r="S4" s="61"/>
      <c r="T4" s="61"/>
    </row>
    <row r="5" spans="1:20" ht="15" thickBot="1" x14ac:dyDescent="0.35">
      <c r="A5" s="222"/>
      <c r="B5" s="53" t="s">
        <v>141</v>
      </c>
      <c r="C5" s="52">
        <f>(9.81*C2)/100</f>
        <v>5.9841000000000006</v>
      </c>
      <c r="D5" s="125" t="s">
        <v>143</v>
      </c>
      <c r="E5" s="245"/>
      <c r="F5" s="1" t="s">
        <v>336</v>
      </c>
      <c r="G5" s="36" t="s">
        <v>214</v>
      </c>
      <c r="H5" s="41">
        <v>205</v>
      </c>
      <c r="I5" s="41" t="s">
        <v>120</v>
      </c>
      <c r="J5" s="36" t="s">
        <v>155</v>
      </c>
      <c r="K5" s="36">
        <v>110</v>
      </c>
      <c r="L5" s="41" t="s">
        <v>153</v>
      </c>
      <c r="N5" s="61"/>
      <c r="O5" s="61"/>
      <c r="P5" s="61"/>
      <c r="Q5" s="61"/>
      <c r="R5" s="61"/>
      <c r="S5" s="61"/>
      <c r="T5" s="61"/>
    </row>
    <row r="6" spans="1:20" ht="15" thickBot="1" x14ac:dyDescent="0.35">
      <c r="A6" s="222"/>
      <c r="B6" s="52" t="s">
        <v>142</v>
      </c>
      <c r="C6" s="52">
        <f>(9.81*C3)/100</f>
        <v>7.2594000000000003</v>
      </c>
      <c r="D6" s="125" t="s">
        <v>143</v>
      </c>
      <c r="E6" s="245"/>
      <c r="F6" t="s">
        <v>225</v>
      </c>
      <c r="G6" s="36" t="s">
        <v>215</v>
      </c>
      <c r="H6" s="41">
        <v>200</v>
      </c>
      <c r="I6" s="41" t="s">
        <v>120</v>
      </c>
      <c r="J6" s="36" t="s">
        <v>154</v>
      </c>
      <c r="K6" s="36">
        <v>0.11</v>
      </c>
      <c r="L6" s="41" t="s">
        <v>153</v>
      </c>
      <c r="N6" s="61"/>
      <c r="O6" s="61"/>
      <c r="P6" s="61"/>
      <c r="Q6" s="61"/>
      <c r="R6" s="61"/>
      <c r="S6" s="61"/>
      <c r="T6" s="61"/>
    </row>
    <row r="7" spans="1:20" ht="15" thickBot="1" x14ac:dyDescent="0.35">
      <c r="A7" s="222"/>
      <c r="B7" s="52" t="s">
        <v>159</v>
      </c>
      <c r="C7" s="126">
        <f>(9.81*(91.98+40))/100</f>
        <v>12.947238000000002</v>
      </c>
      <c r="D7" s="52" t="s">
        <v>143</v>
      </c>
      <c r="E7" s="123"/>
      <c r="F7" t="s">
        <v>226</v>
      </c>
      <c r="G7" s="36" t="s">
        <v>211</v>
      </c>
      <c r="H7" s="41">
        <v>1150</v>
      </c>
      <c r="I7" s="41" t="s">
        <v>152</v>
      </c>
      <c r="J7" s="36" t="s">
        <v>23</v>
      </c>
      <c r="K7" s="36">
        <v>0.09</v>
      </c>
      <c r="L7" s="62"/>
      <c r="N7" s="61"/>
      <c r="O7" s="61"/>
      <c r="P7" s="61"/>
      <c r="Q7" s="61"/>
      <c r="R7" s="61"/>
      <c r="S7" s="61"/>
      <c r="T7" s="61"/>
    </row>
    <row r="8" spans="1:20" ht="15" thickBot="1" x14ac:dyDescent="0.35">
      <c r="F8" t="s">
        <v>158</v>
      </c>
      <c r="G8" s="41" t="s">
        <v>3</v>
      </c>
      <c r="H8" s="41">
        <v>700</v>
      </c>
      <c r="I8" s="41" t="s">
        <v>120</v>
      </c>
      <c r="J8" s="36" t="s">
        <v>240</v>
      </c>
      <c r="K8" s="36">
        <f>((38.39-13.31)*(24/15))/1000</f>
        <v>4.0127999999999997E-2</v>
      </c>
      <c r="L8" s="41" t="s">
        <v>160</v>
      </c>
      <c r="N8" s="63"/>
      <c r="O8" s="63"/>
      <c r="P8" s="61"/>
      <c r="Q8" s="61"/>
      <c r="R8" s="61"/>
      <c r="S8" s="61"/>
      <c r="T8" s="61"/>
    </row>
    <row r="9" spans="1:20" ht="15" thickBot="1" x14ac:dyDescent="0.35">
      <c r="A9" s="221" t="s">
        <v>68</v>
      </c>
      <c r="B9" s="240" t="s">
        <v>216</v>
      </c>
      <c r="C9" s="241"/>
      <c r="D9" s="242"/>
      <c r="E9" s="55"/>
      <c r="F9" t="s">
        <v>337</v>
      </c>
      <c r="G9" s="41" t="s">
        <v>2</v>
      </c>
      <c r="H9" s="41">
        <v>580</v>
      </c>
      <c r="I9" s="41" t="s">
        <v>120</v>
      </c>
      <c r="J9" s="36" t="s">
        <v>162</v>
      </c>
      <c r="K9" s="36">
        <v>15</v>
      </c>
      <c r="L9" s="36" t="s">
        <v>161</v>
      </c>
      <c r="N9" s="61"/>
      <c r="O9" s="61"/>
      <c r="P9" s="61"/>
      <c r="Q9" s="61"/>
      <c r="R9" s="61"/>
      <c r="S9" s="61"/>
      <c r="T9" s="61"/>
    </row>
    <row r="10" spans="1:20" ht="15" thickBot="1" x14ac:dyDescent="0.35">
      <c r="A10" s="222"/>
      <c r="B10" s="52" t="s">
        <v>144</v>
      </c>
      <c r="C10" s="52">
        <f>250-(230+4)</f>
        <v>16</v>
      </c>
      <c r="D10" s="52" t="s">
        <v>120</v>
      </c>
      <c r="E10" s="55"/>
      <c r="G10" s="41" t="s">
        <v>4</v>
      </c>
      <c r="H10" s="41">
        <v>510</v>
      </c>
      <c r="I10" s="41" t="s">
        <v>120</v>
      </c>
      <c r="J10" s="36" t="s">
        <v>163</v>
      </c>
      <c r="K10" s="36">
        <v>40</v>
      </c>
      <c r="L10" s="36" t="s">
        <v>161</v>
      </c>
    </row>
    <row r="11" spans="1:20" ht="15" thickBot="1" x14ac:dyDescent="0.35">
      <c r="A11" s="222"/>
      <c r="B11" s="52" t="s">
        <v>157</v>
      </c>
      <c r="C11" s="52"/>
      <c r="D11" s="52"/>
      <c r="E11" s="55"/>
      <c r="G11" s="41" t="s">
        <v>66</v>
      </c>
      <c r="H11" s="86">
        <v>52.030817209678567</v>
      </c>
      <c r="I11" s="41" t="s">
        <v>63</v>
      </c>
      <c r="J11" s="36" t="s">
        <v>164</v>
      </c>
      <c r="K11" s="36">
        <v>0.75</v>
      </c>
      <c r="L11" s="51"/>
      <c r="M11" s="61"/>
      <c r="N11" s="61"/>
      <c r="O11" s="61"/>
      <c r="P11" s="61"/>
    </row>
    <row r="12" spans="1:20" ht="15" thickBot="1" x14ac:dyDescent="0.35">
      <c r="A12" s="222"/>
      <c r="B12" s="52" t="s">
        <v>145</v>
      </c>
      <c r="C12" s="52">
        <f>(230+1)-200</f>
        <v>31</v>
      </c>
      <c r="D12" s="52" t="s">
        <v>120</v>
      </c>
      <c r="E12" s="55"/>
      <c r="G12" s="41" t="s">
        <v>183</v>
      </c>
      <c r="H12" s="124">
        <f>874328.238285407*1.15</f>
        <v>1005477.474028218</v>
      </c>
      <c r="I12" s="41" t="s">
        <v>106</v>
      </c>
    </row>
    <row r="13" spans="1:20" x14ac:dyDescent="0.3">
      <c r="H13" s="48"/>
    </row>
    <row r="14" spans="1:20" ht="15" thickBot="1" x14ac:dyDescent="0.35"/>
    <row r="15" spans="1:20" ht="34.200000000000003" thickBot="1" x14ac:dyDescent="0.7">
      <c r="A15" s="221" t="s">
        <v>77</v>
      </c>
      <c r="B15" s="244" t="s">
        <v>332</v>
      </c>
      <c r="C15" s="244"/>
      <c r="D15" s="244"/>
      <c r="E15" s="244"/>
      <c r="F15" s="244"/>
      <c r="G15" s="244"/>
      <c r="H15" s="244"/>
      <c r="I15" s="244"/>
      <c r="J15" s="244"/>
      <c r="K15" s="244"/>
      <c r="L15" s="244"/>
      <c r="M15" s="244"/>
      <c r="N15" s="244"/>
    </row>
    <row r="16" spans="1:20" ht="15" thickBot="1" x14ac:dyDescent="0.35">
      <c r="A16" s="222"/>
      <c r="B16" s="36" t="s">
        <v>129</v>
      </c>
      <c r="C16" s="36" t="s">
        <v>125</v>
      </c>
      <c r="D16" s="36" t="s">
        <v>130</v>
      </c>
      <c r="E16" s="36" t="s">
        <v>222</v>
      </c>
      <c r="F16" s="36" t="s">
        <v>126</v>
      </c>
      <c r="G16" s="36" t="s">
        <v>131</v>
      </c>
      <c r="H16" s="36" t="s">
        <v>132</v>
      </c>
      <c r="I16" s="36" t="s">
        <v>133</v>
      </c>
      <c r="J16" s="36" t="s">
        <v>127</v>
      </c>
      <c r="K16" s="36" t="s">
        <v>128</v>
      </c>
      <c r="L16" s="36" t="s">
        <v>146</v>
      </c>
      <c r="M16" s="36" t="s">
        <v>124</v>
      </c>
      <c r="N16" s="36" t="s">
        <v>148</v>
      </c>
      <c r="O16" s="1"/>
    </row>
    <row r="17" spans="1:15" ht="15" thickBot="1" x14ac:dyDescent="0.35">
      <c r="A17" s="222"/>
      <c r="B17" s="59">
        <v>90</v>
      </c>
      <c r="C17" s="38">
        <v>79.2</v>
      </c>
      <c r="D17" s="36">
        <f>PI()*((C17*10^-3)^2)/4</f>
        <v>4.9265199356533706E-3</v>
      </c>
      <c r="E17" s="36">
        <f t="shared" ref="E17:E24" si="0">$H$7/(24*60*60)</f>
        <v>1.3310185185185185E-2</v>
      </c>
      <c r="F17" s="38">
        <f>E17/D17</f>
        <v>2.701741870333048</v>
      </c>
      <c r="G17" s="38">
        <v>0.5</v>
      </c>
      <c r="H17" s="38">
        <v>1.55</v>
      </c>
      <c r="I17" s="36" t="str">
        <f>IF(G17&lt;=F17&lt;=H17,"ok","x")</f>
        <v>x</v>
      </c>
      <c r="J17" s="36">
        <f>(F17*C17*10^-3)/10^-6</f>
        <v>213977.95613037742</v>
      </c>
      <c r="K17" s="36">
        <f>0.05/C17</f>
        <v>6.3131313131313137E-4</v>
      </c>
      <c r="L17" s="36">
        <v>1.9E-2</v>
      </c>
      <c r="M17" s="36">
        <f>L17*(700/(C17/1000))*((F17^2)/(2*9.81))</f>
        <v>62.476280053988212</v>
      </c>
      <c r="N17" s="36" t="str">
        <f>IF(M17&lt;17,"οκ","χ")</f>
        <v>χ</v>
      </c>
      <c r="O17" s="1"/>
    </row>
    <row r="18" spans="1:15" ht="15" thickBot="1" x14ac:dyDescent="0.35">
      <c r="A18" s="222"/>
      <c r="B18" s="59">
        <v>110</v>
      </c>
      <c r="C18" s="38">
        <v>96.8</v>
      </c>
      <c r="D18" s="36">
        <f t="shared" ref="D18:D23" si="1">PI()*((C18*10^-3)^2)/4</f>
        <v>7.3593692865933057E-3</v>
      </c>
      <c r="E18" s="36">
        <f t="shared" si="0"/>
        <v>1.3310185185185185E-2</v>
      </c>
      <c r="F18" s="38">
        <f t="shared" ref="F18:F24" si="2">E18/D18</f>
        <v>1.8086040619584871</v>
      </c>
      <c r="G18" s="38">
        <v>0.5</v>
      </c>
      <c r="H18" s="38">
        <v>1.55</v>
      </c>
      <c r="I18" s="36" t="str">
        <f>IF(G18&lt;=F18&lt;=H18,"ok","x")</f>
        <v>x</v>
      </c>
      <c r="J18" s="36">
        <f t="shared" ref="J18:J23" si="3">(F18*C18*10^-3)/10^-6</f>
        <v>175072.87319758156</v>
      </c>
      <c r="K18" s="36">
        <f t="shared" ref="K18:K24" si="4">0.05/C18</f>
        <v>5.1652892561983473E-4</v>
      </c>
      <c r="L18" s="36">
        <v>1.9E-2</v>
      </c>
      <c r="M18" s="36">
        <f t="shared" ref="M18:M24" si="5">L18*(700/(C18/1000))*((F18^2)/(2*9.81))</f>
        <v>22.906792636543411</v>
      </c>
      <c r="N18" s="36" t="str">
        <f t="shared" ref="N18:N24" si="6">IF(M18&lt;17,"οκ","χ")</f>
        <v>χ</v>
      </c>
      <c r="O18" s="1"/>
    </row>
    <row r="19" spans="1:15" ht="15" thickBot="1" x14ac:dyDescent="0.35">
      <c r="A19" s="222"/>
      <c r="B19" s="68">
        <v>125</v>
      </c>
      <c r="C19" s="69">
        <v>110.2</v>
      </c>
      <c r="D19" s="70">
        <f t="shared" si="1"/>
        <v>9.5379067122251492E-3</v>
      </c>
      <c r="E19" s="70">
        <f t="shared" si="0"/>
        <v>1.3310185185185185E-2</v>
      </c>
      <c r="F19" s="69">
        <f t="shared" si="2"/>
        <v>1.3955038130248163</v>
      </c>
      <c r="G19" s="69">
        <v>0.5</v>
      </c>
      <c r="H19" s="69">
        <v>1.55</v>
      </c>
      <c r="I19" s="70" t="s">
        <v>147</v>
      </c>
      <c r="J19" s="70">
        <f t="shared" si="3"/>
        <v>153784.52019533477</v>
      </c>
      <c r="K19" s="70">
        <f t="shared" si="4"/>
        <v>4.5372050816696918E-4</v>
      </c>
      <c r="L19" s="70">
        <v>1.9E-2</v>
      </c>
      <c r="M19" s="70">
        <f t="shared" si="5"/>
        <v>11.979345710892835</v>
      </c>
      <c r="N19" s="70" t="str">
        <f t="shared" si="6"/>
        <v>οκ</v>
      </c>
      <c r="O19" s="1"/>
    </row>
    <row r="20" spans="1:15" ht="16.2" thickBot="1" x14ac:dyDescent="0.35">
      <c r="A20" s="222"/>
      <c r="B20" s="71">
        <v>140</v>
      </c>
      <c r="C20" s="72">
        <v>123.4</v>
      </c>
      <c r="D20" s="73">
        <f t="shared" si="1"/>
        <v>1.1959697657024451E-2</v>
      </c>
      <c r="E20" s="73">
        <f t="shared" si="0"/>
        <v>1.3310185185185185E-2</v>
      </c>
      <c r="F20" s="72">
        <f t="shared" si="2"/>
        <v>1.1129198719641156</v>
      </c>
      <c r="G20" s="72">
        <v>0.5</v>
      </c>
      <c r="H20" s="72">
        <v>1.85</v>
      </c>
      <c r="I20" s="73" t="s">
        <v>147</v>
      </c>
      <c r="J20" s="73">
        <f t="shared" si="3"/>
        <v>137334.31220037187</v>
      </c>
      <c r="K20" s="73">
        <f t="shared" si="4"/>
        <v>4.051863857374392E-4</v>
      </c>
      <c r="L20" s="73">
        <v>1.9E-2</v>
      </c>
      <c r="M20" s="73">
        <f t="shared" si="5"/>
        <v>6.8040151578483439</v>
      </c>
      <c r="N20" s="73" t="str">
        <f t="shared" si="6"/>
        <v>οκ</v>
      </c>
      <c r="O20" s="1"/>
    </row>
    <row r="21" spans="1:15" ht="15" thickBot="1" x14ac:dyDescent="0.35">
      <c r="A21" s="222"/>
      <c r="B21" s="60">
        <v>160</v>
      </c>
      <c r="C21" s="57">
        <v>141.1</v>
      </c>
      <c r="D21" s="58">
        <f t="shared" si="1"/>
        <v>1.563665696869411E-2</v>
      </c>
      <c r="E21" s="58">
        <f t="shared" si="0"/>
        <v>1.3310185185185185E-2</v>
      </c>
      <c r="F21" s="57">
        <f t="shared" si="2"/>
        <v>0.85121680496242169</v>
      </c>
      <c r="G21" s="57">
        <v>0.5</v>
      </c>
      <c r="H21" s="57">
        <v>1.85</v>
      </c>
      <c r="I21" s="58" t="s">
        <v>147</v>
      </c>
      <c r="J21" s="58">
        <f t="shared" si="3"/>
        <v>120106.69118019771</v>
      </c>
      <c r="K21" s="58">
        <f t="shared" si="4"/>
        <v>3.5435861091424523E-4</v>
      </c>
      <c r="L21" s="58">
        <v>1.9E-2</v>
      </c>
      <c r="M21" s="58">
        <f t="shared" si="5"/>
        <v>3.4810158613842903</v>
      </c>
      <c r="N21" s="58" t="str">
        <f t="shared" si="6"/>
        <v>οκ</v>
      </c>
      <c r="O21" s="1"/>
    </row>
    <row r="22" spans="1:15" ht="15" thickBot="1" x14ac:dyDescent="0.35">
      <c r="A22" s="222"/>
      <c r="B22" s="60">
        <v>180</v>
      </c>
      <c r="C22" s="57">
        <v>158.6</v>
      </c>
      <c r="D22" s="58">
        <f t="shared" si="1"/>
        <v>1.9755873986172876E-2</v>
      </c>
      <c r="E22" s="58">
        <f t="shared" si="0"/>
        <v>1.3310185185185185E-2</v>
      </c>
      <c r="F22" s="57">
        <f t="shared" si="2"/>
        <v>0.67373304742179341</v>
      </c>
      <c r="G22" s="57">
        <v>0.5</v>
      </c>
      <c r="H22" s="57">
        <v>2</v>
      </c>
      <c r="I22" s="58" t="s">
        <v>147</v>
      </c>
      <c r="J22" s="58">
        <f t="shared" si="3"/>
        <v>106854.06132109644</v>
      </c>
      <c r="K22" s="58">
        <f t="shared" si="4"/>
        <v>3.1525851197982351E-4</v>
      </c>
      <c r="L22" s="58">
        <v>1.9300000000000001E-2</v>
      </c>
      <c r="M22" s="58">
        <f t="shared" si="5"/>
        <v>1.9707378788511818</v>
      </c>
      <c r="N22" s="58" t="str">
        <f t="shared" si="6"/>
        <v>οκ</v>
      </c>
      <c r="O22" s="1"/>
    </row>
    <row r="23" spans="1:15" ht="15" thickBot="1" x14ac:dyDescent="0.35">
      <c r="A23" s="222"/>
      <c r="B23" s="59">
        <v>200</v>
      </c>
      <c r="C23" s="38">
        <v>176.2</v>
      </c>
      <c r="D23" s="36">
        <f t="shared" si="1"/>
        <v>2.4383816956029071E-2</v>
      </c>
      <c r="E23" s="36">
        <f t="shared" si="0"/>
        <v>1.3310185185185185E-2</v>
      </c>
      <c r="F23" s="38">
        <f t="shared" si="2"/>
        <v>0.5458614297009865</v>
      </c>
      <c r="G23" s="38">
        <v>0.5</v>
      </c>
      <c r="H23" s="38">
        <v>2</v>
      </c>
      <c r="I23" s="36" t="str">
        <f>IF(G23&lt;=F23&lt;=H23,"ok","x")</f>
        <v>x</v>
      </c>
      <c r="J23" s="36">
        <f t="shared" si="3"/>
        <v>96180.783913313819</v>
      </c>
      <c r="K23" s="36">
        <f t="shared" si="4"/>
        <v>2.8376844494892173E-4</v>
      </c>
      <c r="L23" s="36">
        <v>1.95E-2</v>
      </c>
      <c r="M23" s="36">
        <f t="shared" si="5"/>
        <v>1.1765017051968527</v>
      </c>
      <c r="N23" s="36" t="str">
        <f t="shared" si="6"/>
        <v>οκ</v>
      </c>
      <c r="O23" s="1"/>
    </row>
    <row r="24" spans="1:15" ht="15" thickBot="1" x14ac:dyDescent="0.35">
      <c r="A24" s="222"/>
      <c r="B24" s="59">
        <v>250</v>
      </c>
      <c r="C24" s="38">
        <v>220.4</v>
      </c>
      <c r="D24" s="36">
        <f>PI()*((C24*10^-3)^2)/4</f>
        <v>3.8151626848900597E-2</v>
      </c>
      <c r="E24" s="36">
        <f t="shared" si="0"/>
        <v>1.3310185185185185E-2</v>
      </c>
      <c r="F24" s="38">
        <f t="shared" si="2"/>
        <v>0.34887595325620407</v>
      </c>
      <c r="G24" s="38">
        <v>0.5</v>
      </c>
      <c r="H24" s="38">
        <v>2</v>
      </c>
      <c r="I24" s="36" t="str">
        <f>IF(G24&lt;=F24&lt;=H24,"ok","x")</f>
        <v>x</v>
      </c>
      <c r="J24" s="36">
        <f>(F24*C24*10^-3)/10^-6</f>
        <v>76892.260097667386</v>
      </c>
      <c r="K24" s="36">
        <f t="shared" si="4"/>
        <v>2.2686025408348459E-4</v>
      </c>
      <c r="L24" s="36">
        <v>0.02</v>
      </c>
      <c r="M24" s="36">
        <f t="shared" si="5"/>
        <v>0.39405742470042221</v>
      </c>
      <c r="N24" s="36" t="str">
        <f t="shared" si="6"/>
        <v>οκ</v>
      </c>
      <c r="O24" s="1"/>
    </row>
    <row r="25" spans="1:15" ht="15" thickBot="1" x14ac:dyDescent="0.35">
      <c r="A25" s="222"/>
    </row>
    <row r="26" spans="1:15" ht="37.200000000000003" thickBot="1" x14ac:dyDescent="0.75">
      <c r="A26" s="222"/>
      <c r="B26" s="243" t="s">
        <v>333</v>
      </c>
      <c r="C26" s="243"/>
      <c r="D26" s="243"/>
      <c r="E26" s="243"/>
      <c r="F26" s="243"/>
      <c r="G26" s="243"/>
      <c r="H26" s="243"/>
      <c r="I26" s="243"/>
      <c r="J26" s="243"/>
      <c r="K26" s="243"/>
      <c r="L26" s="243"/>
      <c r="M26" s="243"/>
      <c r="N26" s="243"/>
    </row>
    <row r="27" spans="1:15" ht="15" thickBot="1" x14ac:dyDescent="0.35">
      <c r="A27" s="222"/>
      <c r="B27" s="36" t="s">
        <v>224</v>
      </c>
      <c r="C27" s="36" t="s">
        <v>125</v>
      </c>
      <c r="D27" s="36" t="s">
        <v>130</v>
      </c>
      <c r="E27" s="36" t="s">
        <v>221</v>
      </c>
      <c r="F27" s="36" t="s">
        <v>126</v>
      </c>
      <c r="G27" s="36" t="s">
        <v>131</v>
      </c>
      <c r="H27" s="36" t="s">
        <v>132</v>
      </c>
      <c r="I27" s="36" t="s">
        <v>133</v>
      </c>
      <c r="J27" s="36" t="s">
        <v>127</v>
      </c>
      <c r="K27" s="36" t="s">
        <v>128</v>
      </c>
      <c r="L27" s="36" t="s">
        <v>146</v>
      </c>
      <c r="M27" s="36" t="s">
        <v>124</v>
      </c>
      <c r="N27" s="36" t="s">
        <v>148</v>
      </c>
    </row>
    <row r="28" spans="1:15" ht="15" thickBot="1" x14ac:dyDescent="0.35">
      <c r="A28" s="222"/>
      <c r="B28" s="59">
        <v>160</v>
      </c>
      <c r="C28" s="38">
        <v>141.1</v>
      </c>
      <c r="D28" s="36">
        <f>PI()*((C28*10^-3)^2)/4</f>
        <v>1.563665696869411E-2</v>
      </c>
      <c r="E28" s="36">
        <f>$H$11/1000</f>
        <v>5.2030817209678566E-2</v>
      </c>
      <c r="F28" s="38">
        <f>E28/D28</f>
        <v>3.3274898409454527</v>
      </c>
      <c r="G28" s="38">
        <v>0.5</v>
      </c>
      <c r="H28" s="38">
        <v>1.85</v>
      </c>
      <c r="I28" s="36" t="str">
        <f>IF(G28&lt;=F28&lt;=H28,"ok","x")</f>
        <v>x</v>
      </c>
      <c r="J28" s="36">
        <f>(F28*C28*10^-3)/10^-6</f>
        <v>469508.81655740336</v>
      </c>
      <c r="K28" s="36">
        <f>0.05/C28</f>
        <v>3.5435861091424523E-4</v>
      </c>
      <c r="L28" s="36">
        <v>1.7000000000000001E-2</v>
      </c>
      <c r="M28" s="36">
        <f>L28*(510/(C28/1000))*((F28^2)/(2*9.81))</f>
        <v>34.675805406418014</v>
      </c>
      <c r="N28" s="36" t="str">
        <f>IF(M28&lt;21,"οκ","χ")</f>
        <v>χ</v>
      </c>
    </row>
    <row r="29" spans="1:15" ht="15" thickBot="1" x14ac:dyDescent="0.35">
      <c r="A29" s="222"/>
      <c r="B29" s="59">
        <v>180</v>
      </c>
      <c r="C29" s="38">
        <v>158.6</v>
      </c>
      <c r="D29" s="36">
        <f t="shared" ref="D29:D34" si="7">PI()*((C29*10^-3)^2)/4</f>
        <v>1.9755873986172876E-2</v>
      </c>
      <c r="E29" s="36">
        <f t="shared" ref="E29:E34" si="8">$H$11/1000</f>
        <v>5.2030817209678566E-2</v>
      </c>
      <c r="F29" s="38">
        <f t="shared" ref="F29:F34" si="9">E29/D29</f>
        <v>2.6336884536768608</v>
      </c>
      <c r="G29" s="38">
        <v>0.5</v>
      </c>
      <c r="H29" s="38">
        <v>2</v>
      </c>
      <c r="I29" s="36" t="str">
        <f>IF(G29&lt;=F29&lt;=H29,"ok","x")</f>
        <v>x</v>
      </c>
      <c r="J29" s="36">
        <f t="shared" ref="J29:J34" si="10">(F29*C29*10^-3)/10^-6</f>
        <v>417702.98875315016</v>
      </c>
      <c r="K29" s="36">
        <f t="shared" ref="K29:K34" si="11">0.05/C29</f>
        <v>3.1525851197982351E-4</v>
      </c>
      <c r="L29" s="36">
        <v>1.66E-2</v>
      </c>
      <c r="M29" s="36">
        <f t="shared" ref="M29:M34" si="12">L29*(700/(C29/1000))*((F29^2)/(2*9.81))</f>
        <v>25.901966750792823</v>
      </c>
      <c r="N29" s="36" t="s">
        <v>149</v>
      </c>
    </row>
    <row r="30" spans="1:15" ht="15" thickBot="1" x14ac:dyDescent="0.35">
      <c r="A30" s="222"/>
      <c r="B30" s="59">
        <v>200</v>
      </c>
      <c r="C30" s="38">
        <v>176.2</v>
      </c>
      <c r="D30" s="36">
        <f t="shared" si="7"/>
        <v>2.4383816956029071E-2</v>
      </c>
      <c r="E30" s="36">
        <f t="shared" si="8"/>
        <v>5.2030817209678566E-2</v>
      </c>
      <c r="F30" s="38">
        <f t="shared" si="9"/>
        <v>2.1338257789379269</v>
      </c>
      <c r="G30" s="38">
        <v>0.5</v>
      </c>
      <c r="H30" s="38">
        <v>2</v>
      </c>
      <c r="I30" s="36" t="str">
        <f>IF(G30&lt;=F30&lt;=H30,"ok","x")</f>
        <v>x</v>
      </c>
      <c r="J30" s="36">
        <f t="shared" si="10"/>
        <v>375980.10224886273</v>
      </c>
      <c r="K30" s="36">
        <f>0.05/C30</f>
        <v>2.8376844494892173E-4</v>
      </c>
      <c r="L30" s="36">
        <v>1.6500000000000001E-2</v>
      </c>
      <c r="M30" s="36">
        <f t="shared" si="12"/>
        <v>15.212303879740491</v>
      </c>
      <c r="N30" s="36" t="str">
        <f t="shared" ref="N29:N34" si="13">IF(M30&lt;21,"οκ","χ")</f>
        <v>οκ</v>
      </c>
    </row>
    <row r="31" spans="1:15" ht="18.600000000000001" thickBot="1" x14ac:dyDescent="0.4">
      <c r="A31" s="222"/>
      <c r="B31" s="74">
        <v>250</v>
      </c>
      <c r="C31" s="75">
        <v>220.4</v>
      </c>
      <c r="D31" s="76">
        <f t="shared" si="7"/>
        <v>3.8151626848900597E-2</v>
      </c>
      <c r="E31" s="76">
        <f t="shared" si="8"/>
        <v>5.2030817209678566E-2</v>
      </c>
      <c r="F31" s="75">
        <f t="shared" si="9"/>
        <v>1.3637902628830603</v>
      </c>
      <c r="G31" s="75">
        <v>0.5</v>
      </c>
      <c r="H31" s="75">
        <v>2</v>
      </c>
      <c r="I31" s="76" t="s">
        <v>147</v>
      </c>
      <c r="J31" s="76">
        <f>(F31*C31*10^-3)/10^-6</f>
        <v>300579.37393942656</v>
      </c>
      <c r="K31" s="76">
        <f>0.05/C31</f>
        <v>2.2686025408348459E-4</v>
      </c>
      <c r="L31" s="76">
        <v>1.6400000000000001E-2</v>
      </c>
      <c r="M31" s="76">
        <f t="shared" si="12"/>
        <v>4.937720074201513</v>
      </c>
      <c r="N31" s="76" t="str">
        <f t="shared" si="13"/>
        <v>οκ</v>
      </c>
    </row>
    <row r="32" spans="1:15" ht="15" thickBot="1" x14ac:dyDescent="0.35">
      <c r="A32" s="222"/>
      <c r="B32" s="60">
        <v>280</v>
      </c>
      <c r="C32" s="57">
        <v>246.8</v>
      </c>
      <c r="D32" s="58">
        <f t="shared" si="7"/>
        <v>4.7838790628097802E-2</v>
      </c>
      <c r="E32" s="58">
        <f t="shared" si="8"/>
        <v>5.2030817209678566E-2</v>
      </c>
      <c r="F32" s="57">
        <f>E32/D32</f>
        <v>1.0876281888931909</v>
      </c>
      <c r="G32" s="57">
        <v>0.5</v>
      </c>
      <c r="H32" s="57">
        <v>2</v>
      </c>
      <c r="I32" s="58" t="s">
        <v>147</v>
      </c>
      <c r="J32" s="58">
        <f>(F32*C32*10^-3)/10^-6</f>
        <v>268426.63701883954</v>
      </c>
      <c r="K32" s="58">
        <f t="shared" si="11"/>
        <v>2.025931928687196E-4</v>
      </c>
      <c r="L32" s="58">
        <v>1.6500000000000001E-2</v>
      </c>
      <c r="M32" s="58">
        <f t="shared" si="12"/>
        <v>2.8216213697462491</v>
      </c>
      <c r="N32" s="58" t="str">
        <f t="shared" si="13"/>
        <v>οκ</v>
      </c>
    </row>
    <row r="33" spans="1:30" ht="15" thickBot="1" x14ac:dyDescent="0.35">
      <c r="A33" s="222"/>
      <c r="B33" s="60">
        <v>315</v>
      </c>
      <c r="C33" s="57">
        <v>277.60000000000002</v>
      </c>
      <c r="D33" s="58">
        <f t="shared" si="7"/>
        <v>6.0524164772174947E-2</v>
      </c>
      <c r="E33" s="58">
        <f t="shared" si="8"/>
        <v>5.2030817209678566E-2</v>
      </c>
      <c r="F33" s="57">
        <f t="shared" si="9"/>
        <v>0.85967014010904508</v>
      </c>
      <c r="G33" s="57">
        <v>0.5</v>
      </c>
      <c r="H33" s="57">
        <v>2</v>
      </c>
      <c r="I33" s="58" t="s">
        <v>147</v>
      </c>
      <c r="J33" s="58">
        <f t="shared" si="10"/>
        <v>238644.43089427095</v>
      </c>
      <c r="K33" s="58">
        <f t="shared" si="11"/>
        <v>1.8011527377521613E-4</v>
      </c>
      <c r="L33" s="58">
        <v>1.66E-2</v>
      </c>
      <c r="M33" s="58">
        <f t="shared" si="12"/>
        <v>1.5767082772642607</v>
      </c>
      <c r="N33" s="58" t="str">
        <f t="shared" si="13"/>
        <v>οκ</v>
      </c>
    </row>
    <row r="34" spans="1:30" ht="15" thickBot="1" x14ac:dyDescent="0.35">
      <c r="A34" s="222"/>
      <c r="B34" s="60">
        <v>355</v>
      </c>
      <c r="C34" s="57">
        <v>312.8</v>
      </c>
      <c r="D34" s="58">
        <f t="shared" si="7"/>
        <v>7.6846372235753801E-2</v>
      </c>
      <c r="E34" s="58">
        <f t="shared" si="8"/>
        <v>5.2030817209678566E-2</v>
      </c>
      <c r="F34" s="57">
        <f t="shared" si="9"/>
        <v>0.67707577724105672</v>
      </c>
      <c r="G34" s="57">
        <v>0.5</v>
      </c>
      <c r="H34" s="57">
        <v>2</v>
      </c>
      <c r="I34" s="58" t="s">
        <v>149</v>
      </c>
      <c r="J34" s="58">
        <f t="shared" si="10"/>
        <v>211789.30312100257</v>
      </c>
      <c r="K34" s="58">
        <f t="shared" si="11"/>
        <v>1.5984654731457802E-4</v>
      </c>
      <c r="L34" s="58">
        <v>1.66E-2</v>
      </c>
      <c r="M34" s="58">
        <f t="shared" si="12"/>
        <v>0.86799042524572889</v>
      </c>
      <c r="N34" s="58" t="str">
        <f t="shared" si="13"/>
        <v>οκ</v>
      </c>
    </row>
    <row r="35" spans="1:30" x14ac:dyDescent="0.3">
      <c r="A35" s="222"/>
    </row>
    <row r="36" spans="1:30" ht="37.200000000000003" thickBot="1" x14ac:dyDescent="0.75">
      <c r="A36" s="222"/>
      <c r="B36" s="238" t="s">
        <v>334</v>
      </c>
      <c r="C36" s="239"/>
      <c r="D36" s="239"/>
      <c r="E36" s="239"/>
      <c r="F36" s="239"/>
      <c r="G36" s="239"/>
      <c r="H36" s="239"/>
      <c r="I36" s="239"/>
      <c r="J36" s="239"/>
      <c r="K36" s="239"/>
      <c r="L36" s="239"/>
      <c r="M36" s="239"/>
      <c r="N36" s="239"/>
      <c r="O36" s="239"/>
      <c r="P36" s="239"/>
      <c r="Q36" s="239"/>
      <c r="R36" s="239"/>
      <c r="S36" s="239"/>
      <c r="T36" s="239"/>
      <c r="U36" s="239"/>
      <c r="V36" s="239"/>
      <c r="W36" s="239"/>
      <c r="X36" s="239"/>
      <c r="Y36" s="239"/>
      <c r="Z36" s="239"/>
      <c r="AA36" s="239"/>
      <c r="AB36" s="239"/>
      <c r="AC36" s="239"/>
      <c r="AD36" s="239"/>
    </row>
    <row r="37" spans="1:30" ht="43.8" thickBot="1" x14ac:dyDescent="0.35">
      <c r="A37" s="222"/>
      <c r="B37" s="36" t="s">
        <v>129</v>
      </c>
      <c r="C37" s="36" t="s">
        <v>125</v>
      </c>
      <c r="D37" s="36" t="s">
        <v>130</v>
      </c>
      <c r="E37" s="127" t="s">
        <v>227</v>
      </c>
      <c r="F37" s="36" t="s">
        <v>126</v>
      </c>
      <c r="G37" s="36" t="s">
        <v>131</v>
      </c>
      <c r="H37" s="36" t="s">
        <v>132</v>
      </c>
      <c r="I37" s="36" t="s">
        <v>133</v>
      </c>
      <c r="J37" s="36" t="s">
        <v>127</v>
      </c>
      <c r="K37" s="36" t="s">
        <v>128</v>
      </c>
      <c r="L37" s="158" t="s">
        <v>146</v>
      </c>
      <c r="M37" s="149" t="s">
        <v>242</v>
      </c>
      <c r="N37" s="134" t="s">
        <v>228</v>
      </c>
      <c r="O37" s="49" t="s">
        <v>182</v>
      </c>
      <c r="P37" s="136" t="s">
        <v>243</v>
      </c>
      <c r="Q37" s="136" t="s">
        <v>244</v>
      </c>
      <c r="R37" s="136" t="s">
        <v>232</v>
      </c>
      <c r="S37" s="136" t="s">
        <v>229</v>
      </c>
      <c r="T37" s="136" t="s">
        <v>230</v>
      </c>
      <c r="U37" s="136" t="s">
        <v>231</v>
      </c>
      <c r="V37" s="135" t="s">
        <v>150</v>
      </c>
      <c r="W37" s="136" t="s">
        <v>236</v>
      </c>
      <c r="X37" s="136" t="s">
        <v>237</v>
      </c>
      <c r="Y37" s="136" t="s">
        <v>234</v>
      </c>
      <c r="Z37" s="136" t="s">
        <v>233</v>
      </c>
      <c r="AA37" s="136" t="s">
        <v>238</v>
      </c>
      <c r="AB37" s="136" t="s">
        <v>239</v>
      </c>
      <c r="AC37" s="136" t="s">
        <v>235</v>
      </c>
      <c r="AD37" s="135" t="s">
        <v>151</v>
      </c>
    </row>
    <row r="38" spans="1:30" ht="17.399999999999999" customHeight="1" thickBot="1" x14ac:dyDescent="0.35">
      <c r="A38" s="222"/>
      <c r="B38" s="36">
        <v>160</v>
      </c>
      <c r="C38" s="36">
        <f>B38-2*14.6</f>
        <v>130.80000000000001</v>
      </c>
      <c r="D38" s="36">
        <f>3.14*((C38*10^-3)^2)/4</f>
        <v>1.3430282400000007E-2</v>
      </c>
      <c r="E38" s="36">
        <f t="shared" ref="E38:E47" si="14">$K$8</f>
        <v>4.0127999999999997E-2</v>
      </c>
      <c r="F38" s="38">
        <f>E38/D38</f>
        <v>2.98787462577853</v>
      </c>
      <c r="G38" s="36">
        <v>0.5</v>
      </c>
      <c r="H38" s="36">
        <v>1.85</v>
      </c>
      <c r="I38" s="36" t="str">
        <f t="shared" ref="I38:I39" si="15">IF(G38&lt;=F38&lt;=H38,"ok","x")</f>
        <v>x</v>
      </c>
      <c r="J38" s="59">
        <f>(F38*C38*10^-3)/10^-6</f>
        <v>390814.00105183182</v>
      </c>
      <c r="K38" s="36">
        <f>0.05/C38</f>
        <v>3.8226299694189603E-4</v>
      </c>
      <c r="L38" s="144">
        <v>1.7100000000000001E-2</v>
      </c>
      <c r="M38" s="38">
        <f>L38*(580/(C38/1000))*((F38^2)/(2*9.81))</f>
        <v>34.501827311348137</v>
      </c>
      <c r="N38" s="38">
        <f>(76+M38+O38)</f>
        <v>116.02691867691554</v>
      </c>
      <c r="O38" s="38">
        <f>0.05*(M38+76)</f>
        <v>5.5250913655674072</v>
      </c>
      <c r="P38" s="38">
        <f>(9.81*E38*N38)/0.75</f>
        <v>60.899540760087852</v>
      </c>
      <c r="Q38" s="38">
        <f>1.2*P38</f>
        <v>73.07944891210542</v>
      </c>
      <c r="R38" s="36">
        <v>30.86</v>
      </c>
      <c r="S38" s="36">
        <v>1700</v>
      </c>
      <c r="T38" s="36">
        <v>110</v>
      </c>
      <c r="U38" s="36">
        <v>0.11</v>
      </c>
      <c r="V38" s="36">
        <v>0.09</v>
      </c>
      <c r="W38" s="36">
        <f>$H$9*R38</f>
        <v>17898.8</v>
      </c>
      <c r="X38" s="38">
        <f>Q38*S38</f>
        <v>124235.06315057921</v>
      </c>
      <c r="Y38" s="38">
        <f>X38*((0.09*(1.09^15))/(1.09^15-1))</f>
        <v>15412.463120451563</v>
      </c>
      <c r="Z38" s="38">
        <f>W38*((0.09*(1.09^40))/(1.09^40-1))</f>
        <v>1663.8654535265716</v>
      </c>
      <c r="AA38" s="38">
        <f>T38*Q38</f>
        <v>8038.7393803315963</v>
      </c>
      <c r="AB38" s="38">
        <f>$H$12*9.81*N38/(3600*0.75)</f>
        <v>423873.5796349711</v>
      </c>
      <c r="AC38" s="38">
        <f>AB38*U38</f>
        <v>46626.093759846823</v>
      </c>
      <c r="AD38" s="38">
        <f>Y38+Z38+AA38+AC38</f>
        <v>71741.161714156551</v>
      </c>
    </row>
    <row r="39" spans="1:30" ht="17.399999999999999" customHeight="1" thickBot="1" x14ac:dyDescent="0.35">
      <c r="A39" s="222"/>
      <c r="B39" s="36">
        <v>180</v>
      </c>
      <c r="C39" s="36">
        <f>B39-2*16.4</f>
        <v>147.19999999999999</v>
      </c>
      <c r="D39" s="36">
        <f>3.14*((C39*10^-3)^2)/4</f>
        <v>1.70092544E-2</v>
      </c>
      <c r="E39" s="36">
        <f t="shared" si="14"/>
        <v>4.0127999999999997E-2</v>
      </c>
      <c r="F39" s="38">
        <f>E39/D39</f>
        <v>2.3591863027223581</v>
      </c>
      <c r="G39" s="36">
        <v>0.5</v>
      </c>
      <c r="H39" s="38">
        <v>2</v>
      </c>
      <c r="I39" s="36" t="str">
        <f t="shared" si="15"/>
        <v>x</v>
      </c>
      <c r="J39" s="59">
        <f>(F39*C39*10^-3)/10^-6</f>
        <v>347272.22376073111</v>
      </c>
      <c r="K39" s="36">
        <f>0.05/C39</f>
        <v>3.3967391304347831E-4</v>
      </c>
      <c r="L39" s="144">
        <v>1.7000000000000001E-2</v>
      </c>
      <c r="M39" s="38">
        <f>L39*(580/(C39/1000))*((F39^2)/(2*9.81))</f>
        <v>19.001792795448615</v>
      </c>
      <c r="N39" s="38">
        <f>(76+M39+O39)</f>
        <v>99.751882435221034</v>
      </c>
      <c r="O39" s="38">
        <f>0.05*(M39+76)</f>
        <v>4.7500896397724306</v>
      </c>
      <c r="P39" s="38">
        <f>(9.81*E39*N39)/0.75</f>
        <v>52.357193481755992</v>
      </c>
      <c r="Q39" s="38">
        <f>1.2*P39</f>
        <v>62.828632178107185</v>
      </c>
      <c r="R39" s="36">
        <v>39.07</v>
      </c>
      <c r="S39" s="36">
        <v>1700</v>
      </c>
      <c r="T39" s="36">
        <v>110</v>
      </c>
      <c r="U39" s="36">
        <v>0.11</v>
      </c>
      <c r="V39" s="36">
        <v>0.09</v>
      </c>
      <c r="W39" s="36">
        <f>$H$9*R39</f>
        <v>22660.6</v>
      </c>
      <c r="X39" s="38">
        <f>Q39*S39</f>
        <v>106808.67470278221</v>
      </c>
      <c r="Y39" s="38">
        <f>X39*((0.09*(1.09^15))/(1.09^15-1))</f>
        <v>13250.564840987598</v>
      </c>
      <c r="Z39" s="38">
        <f>W39*((0.09*(1.09^40))/(1.09^40-1))</f>
        <v>2106.5205207155914</v>
      </c>
      <c r="AA39" s="38">
        <f t="shared" ref="AA39:AA40" si="16">T39*Q39</f>
        <v>6911.14953959179</v>
      </c>
      <c r="AB39" s="38">
        <f>$H$12*9.81*N39/(3600*0.75)</f>
        <v>364417.05050257716</v>
      </c>
      <c r="AC39" s="38">
        <f t="shared" ref="AC39:AC40" si="17">AB39*U39</f>
        <v>40085.875555283485</v>
      </c>
      <c r="AD39" s="38">
        <f>Y39+Z39+AA39+AC39</f>
        <v>62354.110456578463</v>
      </c>
    </row>
    <row r="40" spans="1:30" s="157" customFormat="1" ht="16.2" thickBot="1" x14ac:dyDescent="0.35">
      <c r="A40" s="222"/>
      <c r="B40" s="150">
        <v>200</v>
      </c>
      <c r="C40" s="151">
        <f>B40-2*18.2</f>
        <v>163.6</v>
      </c>
      <c r="D40" s="152">
        <f>3.14*((C40*10^-3)^2)/4</f>
        <v>2.1010493599999999E-2</v>
      </c>
      <c r="E40" s="152">
        <f t="shared" si="14"/>
        <v>4.0127999999999997E-2</v>
      </c>
      <c r="F40" s="151">
        <f t="shared" ref="F40:F47" si="18">E40/D40</f>
        <v>1.9099027735359819</v>
      </c>
      <c r="G40" s="151">
        <v>0.5</v>
      </c>
      <c r="H40" s="151">
        <v>2</v>
      </c>
      <c r="I40" s="152" t="s">
        <v>147</v>
      </c>
      <c r="J40" s="150">
        <f t="shared" ref="J40:J41" si="19">(F40*C40*10^-3)/10^-6</f>
        <v>312460.09375048667</v>
      </c>
      <c r="K40" s="153">
        <f t="shared" ref="K40:K47" si="20">0.05/C40</f>
        <v>3.0562347188264064E-4</v>
      </c>
      <c r="L40" s="154">
        <v>1.7000000000000001E-2</v>
      </c>
      <c r="M40" s="151">
        <f>L40*(580/(C40/1000))*((F40^2)/(2*9.81))</f>
        <v>11.205135981881265</v>
      </c>
      <c r="N40" s="155">
        <f t="shared" ref="N40:N47" si="21">(76+M40+O40)</f>
        <v>91.56539278097533</v>
      </c>
      <c r="O40" s="155">
        <f>0.05*(M40+76)</f>
        <v>4.3602567990940635</v>
      </c>
      <c r="P40" s="155">
        <f t="shared" ref="P40:P47" si="22">(9.81*E40*N40)/0.75</f>
        <v>48.060315946215916</v>
      </c>
      <c r="Q40" s="151">
        <f t="shared" ref="Q40:Q47" si="23">1.2*P40</f>
        <v>57.672379135459096</v>
      </c>
      <c r="R40" s="151">
        <v>48.1</v>
      </c>
      <c r="S40" s="156">
        <f t="shared" ref="S40:S47" si="24">$K$3</f>
        <v>1700</v>
      </c>
      <c r="T40" s="150">
        <f t="shared" ref="T40:T47" si="25">$K$5</f>
        <v>110</v>
      </c>
      <c r="U40" s="151">
        <f t="shared" ref="U40:U47" si="26">$K$6</f>
        <v>0.11</v>
      </c>
      <c r="V40" s="151">
        <f t="shared" ref="V40:V47" si="27">$K$7</f>
        <v>0.09</v>
      </c>
      <c r="W40" s="155">
        <f t="shared" ref="W40:W47" si="28">$H$9*R40</f>
        <v>27898</v>
      </c>
      <c r="X40" s="151">
        <f>Q40*S40</f>
        <v>98043.044530280458</v>
      </c>
      <c r="Y40" s="155">
        <f t="shared" ref="Y40:Y47" si="29">X40*((0.09*(1.09^15))/(1.09^15-1))</f>
        <v>12163.110556061185</v>
      </c>
      <c r="Z40" s="155">
        <f t="shared" ref="Z40:Z47" si="30">W40*((0.09*(1.09^40))/(1.09^40-1))</f>
        <v>2593.3871780501654</v>
      </c>
      <c r="AA40" s="155">
        <f t="shared" si="16"/>
        <v>6343.961704900501</v>
      </c>
      <c r="AB40" s="155">
        <f t="shared" ref="AB40:AB47" si="31">$H$12*9.81*N40/(3600*0.75)</f>
        <v>334509.88142526738</v>
      </c>
      <c r="AC40" s="155">
        <f t="shared" si="17"/>
        <v>36796.086956779414</v>
      </c>
      <c r="AD40" s="151">
        <f t="shared" ref="AD40:AD47" si="32">Y40+Z40+AA40+AC40</f>
        <v>57896.546395791265</v>
      </c>
    </row>
    <row r="41" spans="1:30" s="133" customFormat="1" ht="16.2" thickBot="1" x14ac:dyDescent="0.35">
      <c r="A41" s="222"/>
      <c r="B41" s="87">
        <v>225</v>
      </c>
      <c r="C41" s="88">
        <f>B41-2*20.5</f>
        <v>184</v>
      </c>
      <c r="D41" s="142">
        <f>3.14*((C41*10^-3)^2)/4</f>
        <v>2.657696E-2</v>
      </c>
      <c r="E41" s="142">
        <f t="shared" si="14"/>
        <v>4.0127999999999997E-2</v>
      </c>
      <c r="F41" s="88">
        <f t="shared" si="18"/>
        <v>1.509879233742309</v>
      </c>
      <c r="G41" s="88">
        <v>0.5</v>
      </c>
      <c r="H41" s="88">
        <v>2</v>
      </c>
      <c r="I41" s="142" t="s">
        <v>147</v>
      </c>
      <c r="J41" s="87">
        <f t="shared" si="19"/>
        <v>277817.77900858491</v>
      </c>
      <c r="K41" s="89">
        <f t="shared" si="20"/>
        <v>2.7173913043478261E-4</v>
      </c>
      <c r="L41" s="145">
        <v>1.7000000000000001E-2</v>
      </c>
      <c r="M41" s="88">
        <f t="shared" ref="M41:M47" si="33">L41*(580/(C41/1000))*((F41^2)/(2*9.81))</f>
        <v>6.2265074632126014</v>
      </c>
      <c r="N41" s="132">
        <f t="shared" si="21"/>
        <v>86.337832836373224</v>
      </c>
      <c r="O41" s="132">
        <f t="shared" ref="O41:O47" si="34">0.05*(M41+76)</f>
        <v>4.1113253731606303</v>
      </c>
      <c r="P41" s="132">
        <f t="shared" si="22"/>
        <v>45.316504393238439</v>
      </c>
      <c r="Q41" s="88">
        <f t="shared" si="23"/>
        <v>54.379805271886127</v>
      </c>
      <c r="R41" s="88">
        <v>60.85</v>
      </c>
      <c r="S41" s="143">
        <f t="shared" si="24"/>
        <v>1700</v>
      </c>
      <c r="T41" s="87">
        <f t="shared" si="25"/>
        <v>110</v>
      </c>
      <c r="U41" s="88">
        <f t="shared" si="26"/>
        <v>0.11</v>
      </c>
      <c r="V41" s="88">
        <f t="shared" si="27"/>
        <v>0.09</v>
      </c>
      <c r="W41" s="132">
        <f t="shared" si="28"/>
        <v>35293</v>
      </c>
      <c r="X41" s="88">
        <f>Q41*S41</f>
        <v>92445.668962206415</v>
      </c>
      <c r="Y41" s="132">
        <f t="shared" si="29"/>
        <v>11468.706397311775</v>
      </c>
      <c r="Z41" s="132">
        <f t="shared" si="30"/>
        <v>3280.823488240178</v>
      </c>
      <c r="AA41" s="88">
        <f t="shared" ref="AA41:AA47" si="35">T41*Q41</f>
        <v>5981.7785799074736</v>
      </c>
      <c r="AB41" s="132">
        <f t="shared" si="31"/>
        <v>315412.37739997305</v>
      </c>
      <c r="AC41" s="88">
        <f t="shared" ref="AC41:AC47" si="36">AB41*U41</f>
        <v>34695.361513997035</v>
      </c>
      <c r="AD41" s="88">
        <f t="shared" si="32"/>
        <v>55426.669979456463</v>
      </c>
    </row>
    <row r="42" spans="1:30" s="140" customFormat="1" ht="18.600000000000001" thickBot="1" x14ac:dyDescent="0.4">
      <c r="A42" s="222"/>
      <c r="B42" s="129">
        <v>250</v>
      </c>
      <c r="C42" s="137">
        <f>B42-2*22.7</f>
        <v>204.6</v>
      </c>
      <c r="D42" s="142">
        <f t="shared" ref="D42:D47" si="37">3.14*((C42*10^-3)^2)/4</f>
        <v>3.2861010600000004E-2</v>
      </c>
      <c r="E42" s="142">
        <f t="shared" si="14"/>
        <v>4.0127999999999997E-2</v>
      </c>
      <c r="F42" s="137">
        <f t="shared" si="18"/>
        <v>1.2211432109759883</v>
      </c>
      <c r="G42" s="137">
        <v>0.5</v>
      </c>
      <c r="H42" s="137">
        <v>2</v>
      </c>
      <c r="I42" s="138" t="s">
        <v>147</v>
      </c>
      <c r="J42" s="139">
        <f>(F42*C42*10^-3)/10^-6</f>
        <v>249845.90096568721</v>
      </c>
      <c r="K42" s="138">
        <f t="shared" si="20"/>
        <v>2.4437927663734115E-4</v>
      </c>
      <c r="L42" s="146">
        <v>1.7000000000000001E-2</v>
      </c>
      <c r="M42" s="137">
        <f t="shared" si="33"/>
        <v>3.6627348540369877</v>
      </c>
      <c r="N42" s="132">
        <f t="shared" si="21"/>
        <v>83.645871596738829</v>
      </c>
      <c r="O42" s="132">
        <f t="shared" si="34"/>
        <v>3.9831367427018494</v>
      </c>
      <c r="P42" s="132">
        <f t="shared" si="22"/>
        <v>43.903563283475876</v>
      </c>
      <c r="Q42" s="137">
        <f t="shared" si="23"/>
        <v>52.684275940171048</v>
      </c>
      <c r="R42" s="137">
        <v>74.88</v>
      </c>
      <c r="S42" s="139">
        <f t="shared" si="24"/>
        <v>1700</v>
      </c>
      <c r="T42" s="139">
        <f t="shared" si="25"/>
        <v>110</v>
      </c>
      <c r="U42" s="137">
        <f t="shared" si="26"/>
        <v>0.11</v>
      </c>
      <c r="V42" s="137">
        <f t="shared" si="27"/>
        <v>0.09</v>
      </c>
      <c r="W42" s="132">
        <f t="shared" si="28"/>
        <v>43430.399999999994</v>
      </c>
      <c r="X42" s="137">
        <f t="shared" ref="X42:X47" si="38">Q42*S42</f>
        <v>89563.269098290781</v>
      </c>
      <c r="Y42" s="132">
        <f t="shared" si="29"/>
        <v>11111.119090842994</v>
      </c>
      <c r="Z42" s="132">
        <f t="shared" si="30"/>
        <v>4037.2730123159326</v>
      </c>
      <c r="AA42" s="137">
        <f t="shared" si="35"/>
        <v>5795.2703534188149</v>
      </c>
      <c r="AB42" s="132">
        <f t="shared" si="31"/>
        <v>305578.01085905201</v>
      </c>
      <c r="AC42" s="137">
        <f t="shared" si="36"/>
        <v>33613.581194495724</v>
      </c>
      <c r="AD42" s="137">
        <f t="shared" si="32"/>
        <v>54557.24365107347</v>
      </c>
    </row>
    <row r="43" spans="1:30" s="141" customFormat="1" ht="18.600000000000001" thickBot="1" x14ac:dyDescent="0.4">
      <c r="A43" s="222"/>
      <c r="B43" s="87">
        <v>280</v>
      </c>
      <c r="C43" s="88">
        <v>229.2</v>
      </c>
      <c r="D43" s="132">
        <f t="shared" si="37"/>
        <v>4.1238122399999994E-2</v>
      </c>
      <c r="E43" s="88">
        <f t="shared" si="14"/>
        <v>4.0127999999999997E-2</v>
      </c>
      <c r="F43" s="88">
        <f t="shared" si="18"/>
        <v>0.9730801904792834</v>
      </c>
      <c r="G43" s="88">
        <v>0.5</v>
      </c>
      <c r="H43" s="88">
        <v>2</v>
      </c>
      <c r="I43" s="89" t="s">
        <v>149</v>
      </c>
      <c r="J43" s="87">
        <f t="shared" ref="J43:J47" si="39">(F43*C43*10^-3)/10^-6</f>
        <v>223029.97965785177</v>
      </c>
      <c r="K43" s="89">
        <f t="shared" si="20"/>
        <v>2.1815008726003494E-4</v>
      </c>
      <c r="L43" s="145">
        <v>1.7000000000000001E-2</v>
      </c>
      <c r="M43" s="88">
        <f t="shared" si="33"/>
        <v>2.0761587667954524</v>
      </c>
      <c r="N43" s="132">
        <f t="shared" si="21"/>
        <v>81.979966705135226</v>
      </c>
      <c r="O43" s="132">
        <f t="shared" si="34"/>
        <v>3.903807938339773</v>
      </c>
      <c r="P43" s="88">
        <f t="shared" si="22"/>
        <v>43.029172719583158</v>
      </c>
      <c r="Q43" s="88">
        <f t="shared" si="23"/>
        <v>51.635007263499787</v>
      </c>
      <c r="R43" s="88">
        <v>98.51</v>
      </c>
      <c r="S43" s="87">
        <f t="shared" si="24"/>
        <v>1700</v>
      </c>
      <c r="T43" s="87">
        <f t="shared" si="25"/>
        <v>110</v>
      </c>
      <c r="U43" s="88">
        <f t="shared" si="26"/>
        <v>0.11</v>
      </c>
      <c r="V43" s="88">
        <f t="shared" si="27"/>
        <v>0.09</v>
      </c>
      <c r="W43" s="88">
        <f t="shared" si="28"/>
        <v>57135.8</v>
      </c>
      <c r="X43" s="88">
        <f t="shared" si="38"/>
        <v>87779.51234794964</v>
      </c>
      <c r="Y43" s="88">
        <f t="shared" si="29"/>
        <v>10889.828221475726</v>
      </c>
      <c r="Z43" s="88">
        <f t="shared" si="30"/>
        <v>5311.3216405347566</v>
      </c>
      <c r="AA43" s="88">
        <f t="shared" si="35"/>
        <v>5679.8507989849768</v>
      </c>
      <c r="AB43" s="88">
        <f t="shared" si="31"/>
        <v>299492.06909840164</v>
      </c>
      <c r="AC43" s="88">
        <f t="shared" si="36"/>
        <v>32944.127600824184</v>
      </c>
      <c r="AD43" s="88">
        <f t="shared" si="32"/>
        <v>54825.128261819642</v>
      </c>
    </row>
    <row r="44" spans="1:30" s="133" customFormat="1" ht="18.600000000000001" thickBot="1" x14ac:dyDescent="0.4">
      <c r="A44" s="222"/>
      <c r="B44" s="129">
        <v>315</v>
      </c>
      <c r="C44" s="130">
        <f>315-2*28.6</f>
        <v>257.8</v>
      </c>
      <c r="D44" s="57">
        <f t="shared" si="37"/>
        <v>5.2171759400000017E-2</v>
      </c>
      <c r="E44" s="130">
        <f t="shared" si="14"/>
        <v>4.0127999999999997E-2</v>
      </c>
      <c r="F44" s="130">
        <f t="shared" si="18"/>
        <v>0.76915174917409401</v>
      </c>
      <c r="G44" s="130">
        <v>0.5</v>
      </c>
      <c r="H44" s="130">
        <v>2</v>
      </c>
      <c r="I44" s="131" t="s">
        <v>149</v>
      </c>
      <c r="J44" s="129">
        <f t="shared" si="39"/>
        <v>198287.32093708144</v>
      </c>
      <c r="K44" s="131">
        <f t="shared" si="20"/>
        <v>1.9394879751745539E-4</v>
      </c>
      <c r="L44" s="147">
        <v>1.7100000000000001E-2</v>
      </c>
      <c r="M44" s="130">
        <f t="shared" si="33"/>
        <v>1.1600220699671895</v>
      </c>
      <c r="N44" s="132">
        <f t="shared" si="21"/>
        <v>81.018023173465537</v>
      </c>
      <c r="O44" s="132">
        <f t="shared" si="34"/>
        <v>3.8580011034983595</v>
      </c>
      <c r="P44" s="130">
        <f t="shared" si="22"/>
        <v>42.524273339475108</v>
      </c>
      <c r="Q44" s="130">
        <f>1.2*P44</f>
        <v>51.029128007370126</v>
      </c>
      <c r="R44" s="130">
        <v>124.71</v>
      </c>
      <c r="S44" s="129">
        <f t="shared" si="24"/>
        <v>1700</v>
      </c>
      <c r="T44" s="129">
        <f t="shared" si="25"/>
        <v>110</v>
      </c>
      <c r="U44" s="130">
        <f t="shared" si="26"/>
        <v>0.11</v>
      </c>
      <c r="V44" s="130">
        <f t="shared" si="27"/>
        <v>0.09</v>
      </c>
      <c r="W44" s="130">
        <f t="shared" si="28"/>
        <v>72331.8</v>
      </c>
      <c r="X44" s="130">
        <f t="shared" si="38"/>
        <v>86749.51761252922</v>
      </c>
      <c r="Y44" s="130">
        <f t="shared" si="29"/>
        <v>10762.048225463766</v>
      </c>
      <c r="Z44" s="130">
        <f t="shared" si="30"/>
        <v>6723.9358622585469</v>
      </c>
      <c r="AA44" s="130">
        <f t="shared" si="35"/>
        <v>5613.204080810714</v>
      </c>
      <c r="AB44" s="130">
        <f t="shared" si="31"/>
        <v>295977.86349141726</v>
      </c>
      <c r="AC44" s="130">
        <f t="shared" si="36"/>
        <v>32557.564984055898</v>
      </c>
      <c r="AD44" s="130">
        <f t="shared" si="32"/>
        <v>55656.753152588928</v>
      </c>
    </row>
    <row r="45" spans="1:30" s="128" customFormat="1" ht="16.2" thickBot="1" x14ac:dyDescent="0.35">
      <c r="A45" s="222"/>
      <c r="B45" s="87">
        <v>355</v>
      </c>
      <c r="C45" s="88">
        <f>355-2*32.2</f>
        <v>290.60000000000002</v>
      </c>
      <c r="D45" s="57">
        <f t="shared" si="37"/>
        <v>6.6291962600000018E-2</v>
      </c>
      <c r="E45" s="58">
        <f t="shared" si="14"/>
        <v>4.0127999999999997E-2</v>
      </c>
      <c r="F45" s="88">
        <f t="shared" si="18"/>
        <v>0.60532225063434741</v>
      </c>
      <c r="G45" s="88">
        <v>0.5</v>
      </c>
      <c r="H45" s="88">
        <v>2</v>
      </c>
      <c r="I45" s="89" t="s">
        <v>149</v>
      </c>
      <c r="J45" s="87">
        <f t="shared" si="39"/>
        <v>175906.64603434139</v>
      </c>
      <c r="K45" s="89">
        <f t="shared" si="20"/>
        <v>1.7205781142463867E-4</v>
      </c>
      <c r="L45" s="145">
        <v>1.72E-2</v>
      </c>
      <c r="M45" s="88">
        <f t="shared" si="33"/>
        <v>0.64111376835714839</v>
      </c>
      <c r="N45" s="57">
        <f t="shared" si="21"/>
        <v>80.473169456774997</v>
      </c>
      <c r="O45" s="57">
        <f t="shared" si="34"/>
        <v>3.8320556884178574</v>
      </c>
      <c r="P45" s="88">
        <f t="shared" si="22"/>
        <v>42.238293659015987</v>
      </c>
      <c r="Q45" s="88">
        <f t="shared" si="23"/>
        <v>50.685952390819182</v>
      </c>
      <c r="R45" s="88">
        <v>158.71</v>
      </c>
      <c r="S45" s="87">
        <f t="shared" si="24"/>
        <v>1700</v>
      </c>
      <c r="T45" s="87">
        <f t="shared" si="25"/>
        <v>110</v>
      </c>
      <c r="U45" s="88">
        <f t="shared" si="26"/>
        <v>0.11</v>
      </c>
      <c r="V45" s="88">
        <f t="shared" si="27"/>
        <v>0.09</v>
      </c>
      <c r="W45" s="88">
        <f t="shared" si="28"/>
        <v>92051.8</v>
      </c>
      <c r="X45" s="88">
        <f t="shared" si="38"/>
        <v>86166.119064392609</v>
      </c>
      <c r="Y45" s="88">
        <f t="shared" si="29"/>
        <v>10689.672453442125</v>
      </c>
      <c r="Z45" s="88">
        <f t="shared" si="30"/>
        <v>8557.0993560985808</v>
      </c>
      <c r="AA45" s="88">
        <f t="shared" si="35"/>
        <v>5575.4547629901099</v>
      </c>
      <c r="AB45" s="88">
        <f t="shared" si="31"/>
        <v>293987.38492054242</v>
      </c>
      <c r="AC45" s="88">
        <f t="shared" si="36"/>
        <v>32338.612341259668</v>
      </c>
      <c r="AD45" s="88">
        <f t="shared" si="32"/>
        <v>57160.838913790481</v>
      </c>
    </row>
    <row r="46" spans="1:30" s="128" customFormat="1" ht="15" thickBot="1" x14ac:dyDescent="0.35">
      <c r="A46" s="222"/>
      <c r="B46" s="60">
        <v>400</v>
      </c>
      <c r="C46" s="57">
        <f>400-2*36.3</f>
        <v>327.39999999999998</v>
      </c>
      <c r="D46" s="57">
        <f t="shared" si="37"/>
        <v>8.4144746599999987E-2</v>
      </c>
      <c r="E46" s="58">
        <f t="shared" si="14"/>
        <v>4.0127999999999997E-2</v>
      </c>
      <c r="F46" s="57">
        <f t="shared" si="18"/>
        <v>0.47689251701900071</v>
      </c>
      <c r="G46" s="57">
        <v>0.5</v>
      </c>
      <c r="H46" s="57">
        <v>2.1</v>
      </c>
      <c r="I46" s="58" t="s">
        <v>149</v>
      </c>
      <c r="J46" s="60">
        <f t="shared" si="39"/>
        <v>156134.61007202082</v>
      </c>
      <c r="K46" s="58">
        <f t="shared" si="20"/>
        <v>1.5271838729383021E-4</v>
      </c>
      <c r="L46" s="148">
        <v>1.7399999999999999E-2</v>
      </c>
      <c r="M46" s="57">
        <f t="shared" si="33"/>
        <v>0.35730622253228894</v>
      </c>
      <c r="N46" s="57">
        <f t="shared" si="21"/>
        <v>80.175171533658897</v>
      </c>
      <c r="O46" s="57">
        <f t="shared" si="34"/>
        <v>3.8178653111266145</v>
      </c>
      <c r="P46" s="57">
        <f t="shared" si="22"/>
        <v>42.081882225598854</v>
      </c>
      <c r="Q46" s="57">
        <f t="shared" si="23"/>
        <v>50.49825867071862</v>
      </c>
      <c r="R46" s="57">
        <v>215.34</v>
      </c>
      <c r="S46" s="60">
        <f t="shared" si="24"/>
        <v>1700</v>
      </c>
      <c r="T46" s="60">
        <f t="shared" si="25"/>
        <v>110</v>
      </c>
      <c r="U46" s="57">
        <f t="shared" si="26"/>
        <v>0.11</v>
      </c>
      <c r="V46" s="57">
        <f t="shared" si="27"/>
        <v>0.09</v>
      </c>
      <c r="W46" s="57">
        <f t="shared" si="28"/>
        <v>124897.2</v>
      </c>
      <c r="X46" s="57">
        <f t="shared" si="38"/>
        <v>85847.039740221648</v>
      </c>
      <c r="Y46" s="57">
        <f t="shared" si="29"/>
        <v>10650.08782900866</v>
      </c>
      <c r="Z46" s="57">
        <f t="shared" si="30"/>
        <v>11610.394904809202</v>
      </c>
      <c r="AA46" s="57">
        <f t="shared" si="35"/>
        <v>5554.8084537790482</v>
      </c>
      <c r="AB46" s="57">
        <f t="shared" si="31"/>
        <v>292898.72853084089</v>
      </c>
      <c r="AC46" s="57">
        <f t="shared" si="36"/>
        <v>32218.860138392498</v>
      </c>
      <c r="AD46" s="57">
        <f t="shared" si="32"/>
        <v>60034.151325989413</v>
      </c>
    </row>
    <row r="47" spans="1:30" s="128" customFormat="1" ht="15" thickBot="1" x14ac:dyDescent="0.35">
      <c r="A47" s="223"/>
      <c r="B47" s="60">
        <v>450</v>
      </c>
      <c r="C47" s="57">
        <f>450-2*40.9</f>
        <v>368.2</v>
      </c>
      <c r="D47" s="57">
        <f t="shared" si="37"/>
        <v>0.10642342339999999</v>
      </c>
      <c r="E47" s="58">
        <f t="shared" si="14"/>
        <v>4.0127999999999997E-2</v>
      </c>
      <c r="F47" s="57">
        <f t="shared" si="18"/>
        <v>0.37705984940153692</v>
      </c>
      <c r="G47" s="57">
        <v>0.5</v>
      </c>
      <c r="H47" s="57">
        <v>2.1</v>
      </c>
      <c r="I47" s="58" t="s">
        <v>149</v>
      </c>
      <c r="J47" s="60">
        <f t="shared" si="39"/>
        <v>138833.43654964591</v>
      </c>
      <c r="K47" s="58">
        <f t="shared" si="20"/>
        <v>1.3579576317218904E-4</v>
      </c>
      <c r="L47" s="148">
        <v>1.77E-2</v>
      </c>
      <c r="M47" s="58">
        <f t="shared" si="33"/>
        <v>0.20204078730192862</v>
      </c>
      <c r="N47" s="57">
        <f t="shared" si="21"/>
        <v>80.012142826667016</v>
      </c>
      <c r="O47" s="57">
        <f t="shared" si="34"/>
        <v>3.8101020393650966</v>
      </c>
      <c r="P47" s="57">
        <f t="shared" si="22"/>
        <v>41.996312656918299</v>
      </c>
      <c r="Q47" s="57">
        <f t="shared" si="23"/>
        <v>50.395575188301954</v>
      </c>
      <c r="R47" s="57">
        <v>272</v>
      </c>
      <c r="S47" s="60">
        <f t="shared" si="24"/>
        <v>1700</v>
      </c>
      <c r="T47" s="60">
        <f t="shared" si="25"/>
        <v>110</v>
      </c>
      <c r="U47" s="57">
        <f t="shared" si="26"/>
        <v>0.11</v>
      </c>
      <c r="V47" s="57">
        <f t="shared" si="27"/>
        <v>0.09</v>
      </c>
      <c r="W47" s="57">
        <f t="shared" si="28"/>
        <v>157760</v>
      </c>
      <c r="X47" s="57">
        <f t="shared" si="38"/>
        <v>85672.477820113316</v>
      </c>
      <c r="Y47" s="57">
        <f t="shared" si="29"/>
        <v>10628.431872246727</v>
      </c>
      <c r="Z47" s="57">
        <f t="shared" si="30"/>
        <v>14665.307950720269</v>
      </c>
      <c r="AA47" s="57">
        <f t="shared" si="35"/>
        <v>5543.5132707132152</v>
      </c>
      <c r="AB47" s="57">
        <f t="shared" si="31"/>
        <v>292303.14638142317</v>
      </c>
      <c r="AC47" s="57">
        <f t="shared" si="36"/>
        <v>32153.346101956547</v>
      </c>
      <c r="AD47" s="57">
        <f t="shared" si="32"/>
        <v>62990.599195636758</v>
      </c>
    </row>
    <row r="49" spans="1:5" ht="15" thickBot="1" x14ac:dyDescent="0.35"/>
    <row r="50" spans="1:5" ht="16.2" thickBot="1" x14ac:dyDescent="0.35">
      <c r="A50" s="221" t="s">
        <v>88</v>
      </c>
      <c r="B50" s="235" t="s">
        <v>165</v>
      </c>
      <c r="C50" s="235"/>
      <c r="D50" s="235"/>
      <c r="E50" s="235"/>
    </row>
    <row r="51" spans="1:5" ht="30" customHeight="1" thickBot="1" x14ac:dyDescent="0.35">
      <c r="A51" s="222"/>
      <c r="B51" s="56"/>
      <c r="C51" s="38" t="s">
        <v>167</v>
      </c>
      <c r="D51" s="38" t="s">
        <v>191</v>
      </c>
      <c r="E51" s="38" t="s">
        <v>241</v>
      </c>
    </row>
    <row r="52" spans="1:5" ht="15" thickBot="1" x14ac:dyDescent="0.35">
      <c r="A52" s="222"/>
      <c r="B52" s="38" t="s">
        <v>136</v>
      </c>
      <c r="C52" s="59">
        <v>125</v>
      </c>
      <c r="D52" s="38">
        <v>110.2</v>
      </c>
      <c r="E52" s="38">
        <v>12.74</v>
      </c>
    </row>
    <row r="53" spans="1:5" ht="15" thickBot="1" x14ac:dyDescent="0.35">
      <c r="A53" s="222"/>
      <c r="B53" s="38" t="s">
        <v>137</v>
      </c>
      <c r="C53" s="59">
        <v>250</v>
      </c>
      <c r="D53" s="38">
        <v>220.4</v>
      </c>
      <c r="E53" s="38">
        <v>48.84</v>
      </c>
    </row>
    <row r="54" spans="1:5" ht="15" thickBot="1" x14ac:dyDescent="0.35">
      <c r="A54" s="223"/>
      <c r="B54" s="38" t="s">
        <v>166</v>
      </c>
      <c r="C54" s="59">
        <f>200</f>
        <v>200</v>
      </c>
      <c r="D54" s="38">
        <f>163.6</f>
        <v>163.6</v>
      </c>
      <c r="E54" s="38">
        <v>48.1</v>
      </c>
    </row>
  </sheetData>
  <mergeCells count="12">
    <mergeCell ref="A50:A54"/>
    <mergeCell ref="B50:E50"/>
    <mergeCell ref="G1:M1"/>
    <mergeCell ref="A1:A7"/>
    <mergeCell ref="B36:AD36"/>
    <mergeCell ref="B9:D9"/>
    <mergeCell ref="B26:N26"/>
    <mergeCell ref="A15:A47"/>
    <mergeCell ref="B15:N15"/>
    <mergeCell ref="A9:A12"/>
    <mergeCell ref="E5:E6"/>
    <mergeCell ref="B1:D1"/>
  </mergeCells>
  <phoneticPr fontId="5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2CAB9-2A87-4AE9-B8BF-4EC11F5EDBFA}">
  <sheetPr>
    <tabColor rgb="FFFFFF00"/>
  </sheetPr>
  <dimension ref="A1:HN37"/>
  <sheetViews>
    <sheetView zoomScale="63" zoomScaleNormal="63" workbookViewId="0">
      <selection activeCell="A12" sqref="A12"/>
    </sheetView>
  </sheetViews>
  <sheetFormatPr defaultRowHeight="14.4" x14ac:dyDescent="0.3"/>
  <cols>
    <col min="1" max="1" width="16.44140625" customWidth="1"/>
    <col min="2" max="2" width="20.5546875" customWidth="1"/>
    <col min="3" max="3" width="18.77734375" customWidth="1"/>
    <col min="6" max="6" width="19.33203125" customWidth="1"/>
    <col min="7" max="7" width="19" customWidth="1"/>
    <col min="8" max="10" width="17" customWidth="1"/>
    <col min="11" max="11" width="8.88671875" customWidth="1"/>
    <col min="135" max="135" width="8.88671875" customWidth="1"/>
    <col min="136" max="136" width="15.5546875" customWidth="1"/>
    <col min="137" max="137" width="18.44140625" customWidth="1"/>
    <col min="138" max="138" width="18.88671875" customWidth="1"/>
    <col min="139" max="139" width="19.44140625" customWidth="1"/>
    <col min="140" max="140" width="20" customWidth="1"/>
    <col min="141" max="141" width="18.109375" customWidth="1"/>
    <col min="155" max="155" width="11.88671875" customWidth="1"/>
    <col min="203" max="203" width="23.21875" customWidth="1"/>
    <col min="204" max="204" width="22" customWidth="1"/>
    <col min="205" max="205" width="22.21875" customWidth="1"/>
    <col min="206" max="206" width="27" customWidth="1"/>
    <col min="207" max="207" width="22.77734375" customWidth="1"/>
    <col min="208" max="208" width="20.44140625" customWidth="1"/>
    <col min="209" max="209" width="29.44140625" customWidth="1"/>
    <col min="210" max="210" width="20.21875" customWidth="1"/>
    <col min="211" max="214" width="21" customWidth="1"/>
    <col min="215" max="215" width="26.21875" customWidth="1"/>
    <col min="216" max="216" width="22.33203125" customWidth="1"/>
    <col min="217" max="217" width="25" customWidth="1"/>
    <col min="218" max="221" width="17.88671875" customWidth="1"/>
    <col min="222" max="222" width="23.77734375" customWidth="1"/>
  </cols>
  <sheetData>
    <row r="1" spans="1:222" ht="42" customHeight="1" x14ac:dyDescent="0.6">
      <c r="A1" s="262" t="s">
        <v>346</v>
      </c>
      <c r="L1" s="171" t="s">
        <v>269</v>
      </c>
      <c r="AC1" s="171" t="s">
        <v>270</v>
      </c>
      <c r="AT1" s="171" t="s">
        <v>273</v>
      </c>
      <c r="BP1" s="171" t="s">
        <v>274</v>
      </c>
      <c r="CL1" s="171" t="s">
        <v>271</v>
      </c>
      <c r="DD1" s="171" t="s">
        <v>272</v>
      </c>
      <c r="DU1" s="171" t="s">
        <v>275</v>
      </c>
      <c r="ET1" s="171" t="s">
        <v>276</v>
      </c>
      <c r="FK1" s="171" t="s">
        <v>277</v>
      </c>
      <c r="GC1" s="171" t="s">
        <v>278</v>
      </c>
      <c r="GT1" s="171" t="s">
        <v>280</v>
      </c>
      <c r="HA1" s="174"/>
      <c r="HB1" s="174"/>
      <c r="HC1" s="174"/>
      <c r="HD1" s="189" t="s">
        <v>250</v>
      </c>
      <c r="HE1" s="174"/>
      <c r="HF1" s="174"/>
      <c r="HG1" s="174"/>
      <c r="HH1" s="190"/>
      <c r="HI1" s="190"/>
      <c r="HJ1" s="190"/>
      <c r="HK1" s="168" t="s">
        <v>251</v>
      </c>
      <c r="HL1" s="190"/>
      <c r="HM1" s="190"/>
      <c r="HN1" s="190"/>
    </row>
    <row r="2" spans="1:222" ht="43.2" x14ac:dyDescent="0.3">
      <c r="A2" s="162" t="s">
        <v>89</v>
      </c>
      <c r="B2" s="167" t="s">
        <v>250</v>
      </c>
      <c r="C2" s="168" t="s">
        <v>251</v>
      </c>
      <c r="L2" s="165"/>
      <c r="M2" s="165" t="s">
        <v>253</v>
      </c>
      <c r="N2" s="165" t="s">
        <v>254</v>
      </c>
      <c r="O2" s="165" t="s">
        <v>255</v>
      </c>
      <c r="P2" s="165" t="s">
        <v>256</v>
      </c>
      <c r="Q2" s="165" t="s">
        <v>257</v>
      </c>
      <c r="R2" s="165" t="s">
        <v>258</v>
      </c>
      <c r="S2" s="165" t="s">
        <v>259</v>
      </c>
      <c r="T2" s="165" t="s">
        <v>260</v>
      </c>
      <c r="U2" s="165" t="s">
        <v>261</v>
      </c>
      <c r="V2" s="165" t="s">
        <v>262</v>
      </c>
      <c r="W2" s="165" t="s">
        <v>267</v>
      </c>
      <c r="X2" s="165" t="s">
        <v>184</v>
      </c>
      <c r="Y2" s="165" t="s">
        <v>264</v>
      </c>
      <c r="Z2" s="165" t="s">
        <v>265</v>
      </c>
      <c r="AA2" s="165" t="s">
        <v>268</v>
      </c>
      <c r="AC2" s="165"/>
      <c r="AD2" s="165" t="s">
        <v>253</v>
      </c>
      <c r="AE2" s="165" t="s">
        <v>254</v>
      </c>
      <c r="AF2" s="165" t="s">
        <v>255</v>
      </c>
      <c r="AG2" s="165" t="s">
        <v>256</v>
      </c>
      <c r="AH2" s="165" t="s">
        <v>257</v>
      </c>
      <c r="AI2" s="165" t="s">
        <v>258</v>
      </c>
      <c r="AJ2" s="165" t="s">
        <v>259</v>
      </c>
      <c r="AK2" s="165" t="s">
        <v>260</v>
      </c>
      <c r="AL2" s="165" t="s">
        <v>261</v>
      </c>
      <c r="AM2" s="165" t="s">
        <v>262</v>
      </c>
      <c r="AN2" s="165" t="s">
        <v>267</v>
      </c>
      <c r="AO2" s="165" t="s">
        <v>184</v>
      </c>
      <c r="AP2" s="165" t="s">
        <v>264</v>
      </c>
      <c r="AQ2" s="165" t="s">
        <v>265</v>
      </c>
      <c r="AR2" s="165" t="s">
        <v>268</v>
      </c>
      <c r="AT2" s="165"/>
      <c r="AU2" s="165" t="s">
        <v>253</v>
      </c>
      <c r="AV2" s="165" t="s">
        <v>254</v>
      </c>
      <c r="AW2" s="165" t="s">
        <v>255</v>
      </c>
      <c r="AX2" s="165" t="s">
        <v>256</v>
      </c>
      <c r="AY2" s="165" t="s">
        <v>257</v>
      </c>
      <c r="AZ2" s="165" t="s">
        <v>258</v>
      </c>
      <c r="BA2" s="165" t="s">
        <v>259</v>
      </c>
      <c r="BB2" s="165" t="s">
        <v>260</v>
      </c>
      <c r="BC2" s="165" t="s">
        <v>261</v>
      </c>
      <c r="BD2" s="165" t="s">
        <v>262</v>
      </c>
      <c r="BE2" s="165" t="s">
        <v>267</v>
      </c>
      <c r="BF2" s="165" t="s">
        <v>184</v>
      </c>
      <c r="BG2" s="165" t="s">
        <v>264</v>
      </c>
      <c r="BH2" s="165" t="s">
        <v>265</v>
      </c>
      <c r="BI2" s="165" t="s">
        <v>268</v>
      </c>
      <c r="BP2" s="165"/>
      <c r="BQ2" s="165" t="s">
        <v>253</v>
      </c>
      <c r="BR2" s="165" t="s">
        <v>254</v>
      </c>
      <c r="BS2" s="165" t="s">
        <v>255</v>
      </c>
      <c r="BT2" s="165" t="s">
        <v>256</v>
      </c>
      <c r="BU2" s="165" t="s">
        <v>257</v>
      </c>
      <c r="BV2" s="165" t="s">
        <v>258</v>
      </c>
      <c r="BW2" s="165" t="s">
        <v>259</v>
      </c>
      <c r="BX2" s="165" t="s">
        <v>260</v>
      </c>
      <c r="BY2" s="165" t="s">
        <v>261</v>
      </c>
      <c r="BZ2" s="165" t="s">
        <v>262</v>
      </c>
      <c r="CA2" s="165" t="s">
        <v>267</v>
      </c>
      <c r="CB2" s="165" t="s">
        <v>184</v>
      </c>
      <c r="CC2" s="165" t="s">
        <v>264</v>
      </c>
      <c r="CD2" s="165" t="s">
        <v>265</v>
      </c>
      <c r="CE2" s="165" t="s">
        <v>268</v>
      </c>
      <c r="CL2" s="165"/>
      <c r="CM2" s="165" t="s">
        <v>253</v>
      </c>
      <c r="CN2" s="165" t="s">
        <v>254</v>
      </c>
      <c r="CO2" s="165" t="s">
        <v>255</v>
      </c>
      <c r="CP2" s="165" t="s">
        <v>256</v>
      </c>
      <c r="CQ2" s="165" t="s">
        <v>257</v>
      </c>
      <c r="CR2" s="165" t="s">
        <v>258</v>
      </c>
      <c r="CS2" s="165" t="s">
        <v>259</v>
      </c>
      <c r="CT2" s="165" t="s">
        <v>260</v>
      </c>
      <c r="CU2" s="165" t="s">
        <v>261</v>
      </c>
      <c r="CV2" s="165" t="s">
        <v>262</v>
      </c>
      <c r="CW2" s="165" t="s">
        <v>267</v>
      </c>
      <c r="CX2" s="165" t="s">
        <v>184</v>
      </c>
      <c r="CY2" s="165" t="s">
        <v>264</v>
      </c>
      <c r="CZ2" s="165" t="s">
        <v>265</v>
      </c>
      <c r="DA2" s="165" t="s">
        <v>268</v>
      </c>
      <c r="DD2" s="165"/>
      <c r="DE2" s="165" t="s">
        <v>253</v>
      </c>
      <c r="DF2" s="165" t="s">
        <v>254</v>
      </c>
      <c r="DG2" s="165" t="s">
        <v>255</v>
      </c>
      <c r="DH2" s="165" t="s">
        <v>256</v>
      </c>
      <c r="DI2" s="165" t="s">
        <v>257</v>
      </c>
      <c r="DJ2" s="165" t="s">
        <v>258</v>
      </c>
      <c r="DK2" s="165" t="s">
        <v>259</v>
      </c>
      <c r="DL2" s="165" t="s">
        <v>260</v>
      </c>
      <c r="DM2" s="165" t="s">
        <v>261</v>
      </c>
      <c r="DN2" s="165" t="s">
        <v>262</v>
      </c>
      <c r="DO2" s="165" t="s">
        <v>267</v>
      </c>
      <c r="DP2" s="165" t="s">
        <v>184</v>
      </c>
      <c r="DQ2" s="165" t="s">
        <v>264</v>
      </c>
      <c r="DR2" s="165" t="s">
        <v>265</v>
      </c>
      <c r="DS2" s="165" t="s">
        <v>268</v>
      </c>
      <c r="DU2" s="165"/>
      <c r="DV2" s="165" t="s">
        <v>253</v>
      </c>
      <c r="DW2" s="165" t="s">
        <v>254</v>
      </c>
      <c r="DX2" s="165" t="s">
        <v>255</v>
      </c>
      <c r="DY2" s="165" t="s">
        <v>256</v>
      </c>
      <c r="DZ2" s="165" t="s">
        <v>257</v>
      </c>
      <c r="EA2" s="165" t="s">
        <v>258</v>
      </c>
      <c r="EB2" s="165" t="s">
        <v>259</v>
      </c>
      <c r="EC2" s="165" t="s">
        <v>260</v>
      </c>
      <c r="ED2" s="165" t="s">
        <v>261</v>
      </c>
      <c r="EE2" s="165" t="s">
        <v>262</v>
      </c>
      <c r="EF2" s="165" t="s">
        <v>267</v>
      </c>
      <c r="EG2" s="165" t="s">
        <v>184</v>
      </c>
      <c r="EH2" s="165" t="s">
        <v>264</v>
      </c>
      <c r="EI2" s="165" t="s">
        <v>265</v>
      </c>
      <c r="EJ2" s="165" t="s">
        <v>268</v>
      </c>
      <c r="ET2" s="165"/>
      <c r="EU2" s="165" t="s">
        <v>253</v>
      </c>
      <c r="EV2" s="165" t="s">
        <v>254</v>
      </c>
      <c r="EW2" s="165" t="s">
        <v>255</v>
      </c>
      <c r="EX2" s="165" t="s">
        <v>256</v>
      </c>
      <c r="EY2" s="165" t="s">
        <v>257</v>
      </c>
      <c r="EZ2" s="165" t="s">
        <v>258</v>
      </c>
      <c r="FA2" s="165" t="s">
        <v>259</v>
      </c>
      <c r="FB2" s="165" t="s">
        <v>260</v>
      </c>
      <c r="FC2" s="165" t="s">
        <v>261</v>
      </c>
      <c r="FD2" s="165" t="s">
        <v>262</v>
      </c>
      <c r="FE2" s="165" t="s">
        <v>267</v>
      </c>
      <c r="FF2" s="165" t="s">
        <v>184</v>
      </c>
      <c r="FG2" s="165" t="s">
        <v>264</v>
      </c>
      <c r="FH2" s="165" t="s">
        <v>265</v>
      </c>
      <c r="FI2" s="165" t="s">
        <v>268</v>
      </c>
      <c r="FK2" s="165"/>
      <c r="FL2" s="165" t="s">
        <v>253</v>
      </c>
      <c r="FM2" s="165" t="s">
        <v>254</v>
      </c>
      <c r="FN2" s="165" t="s">
        <v>255</v>
      </c>
      <c r="FO2" s="165" t="s">
        <v>256</v>
      </c>
      <c r="FP2" s="165" t="s">
        <v>257</v>
      </c>
      <c r="FQ2" s="165" t="s">
        <v>258</v>
      </c>
      <c r="FR2" s="165" t="s">
        <v>259</v>
      </c>
      <c r="FS2" s="165" t="s">
        <v>260</v>
      </c>
      <c r="FT2" s="165" t="s">
        <v>261</v>
      </c>
      <c r="FU2" s="165" t="s">
        <v>262</v>
      </c>
      <c r="FV2" s="165" t="s">
        <v>267</v>
      </c>
      <c r="FW2" s="165" t="s">
        <v>184</v>
      </c>
      <c r="FX2" s="165" t="s">
        <v>264</v>
      </c>
      <c r="FY2" s="165" t="s">
        <v>265</v>
      </c>
      <c r="FZ2" s="165" t="s">
        <v>268</v>
      </c>
      <c r="GC2" s="165"/>
      <c r="GD2" s="165" t="s">
        <v>253</v>
      </c>
      <c r="GE2" s="165" t="s">
        <v>254</v>
      </c>
      <c r="GF2" s="165" t="s">
        <v>255</v>
      </c>
      <c r="GG2" s="165" t="s">
        <v>256</v>
      </c>
      <c r="GH2" s="165" t="s">
        <v>257</v>
      </c>
      <c r="GI2" s="165" t="s">
        <v>258</v>
      </c>
      <c r="GJ2" s="165" t="s">
        <v>259</v>
      </c>
      <c r="GK2" s="165" t="s">
        <v>260</v>
      </c>
      <c r="GL2" s="165" t="s">
        <v>261</v>
      </c>
      <c r="GM2" s="165" t="s">
        <v>262</v>
      </c>
      <c r="GN2" s="165" t="s">
        <v>267</v>
      </c>
      <c r="GO2" s="165" t="s">
        <v>184</v>
      </c>
      <c r="GP2" s="165" t="s">
        <v>264</v>
      </c>
      <c r="GQ2" s="165" t="s">
        <v>265</v>
      </c>
      <c r="GR2" s="165" t="s">
        <v>268</v>
      </c>
      <c r="GT2" s="165"/>
      <c r="GU2" s="184" t="s">
        <v>245</v>
      </c>
      <c r="GV2" s="184" t="s">
        <v>281</v>
      </c>
      <c r="GW2" s="184" t="s">
        <v>282</v>
      </c>
      <c r="GX2" s="188" t="s">
        <v>245</v>
      </c>
      <c r="GY2" s="187" t="s">
        <v>281</v>
      </c>
      <c r="GZ2" s="186" t="s">
        <v>282</v>
      </c>
      <c r="HA2" s="188" t="s">
        <v>284</v>
      </c>
      <c r="HB2" s="187" t="s">
        <v>285</v>
      </c>
      <c r="HC2" s="186" t="s">
        <v>286</v>
      </c>
      <c r="HD2" s="192" t="s">
        <v>292</v>
      </c>
      <c r="HE2" s="193" t="s">
        <v>291</v>
      </c>
      <c r="HF2" s="194" t="s">
        <v>293</v>
      </c>
      <c r="HG2" s="266" t="s">
        <v>287</v>
      </c>
      <c r="HH2" s="191" t="s">
        <v>284</v>
      </c>
      <c r="HI2" s="187" t="s">
        <v>285</v>
      </c>
      <c r="HJ2" s="186" t="s">
        <v>286</v>
      </c>
      <c r="HK2" s="192" t="s">
        <v>290</v>
      </c>
      <c r="HL2" s="193" t="s">
        <v>288</v>
      </c>
      <c r="HM2" s="194" t="s">
        <v>289</v>
      </c>
      <c r="HN2" s="270" t="s">
        <v>287</v>
      </c>
    </row>
    <row r="3" spans="1:222" ht="63.6" customHeight="1" x14ac:dyDescent="0.3">
      <c r="A3" s="164" t="s">
        <v>245</v>
      </c>
      <c r="B3" s="165">
        <v>24.98</v>
      </c>
      <c r="C3" s="165">
        <v>24.98</v>
      </c>
      <c r="L3" s="166" t="s">
        <v>253</v>
      </c>
      <c r="M3" s="178"/>
      <c r="N3" s="165">
        <v>1</v>
      </c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C3" s="166" t="s">
        <v>253</v>
      </c>
      <c r="AD3" s="170"/>
      <c r="AE3" s="165">
        <v>255</v>
      </c>
      <c r="AF3" s="165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T3" s="166" t="s">
        <v>253</v>
      </c>
      <c r="AU3" s="180"/>
      <c r="AV3" s="165">
        <v>0</v>
      </c>
      <c r="AW3" s="165"/>
      <c r="AX3" s="165"/>
      <c r="AY3" s="165"/>
      <c r="AZ3" s="165"/>
      <c r="BA3" s="165"/>
      <c r="BB3" s="165"/>
      <c r="BC3" s="165"/>
      <c r="BD3" s="165"/>
      <c r="BE3" s="165"/>
      <c r="BF3" s="165"/>
      <c r="BG3" s="165"/>
      <c r="BH3" s="165"/>
      <c r="BI3" s="165"/>
      <c r="BP3" s="166" t="s">
        <v>253</v>
      </c>
      <c r="BQ3" s="175"/>
      <c r="BR3" s="165">
        <v>0</v>
      </c>
      <c r="BS3" s="165"/>
      <c r="BT3" s="165"/>
      <c r="BU3" s="165"/>
      <c r="BV3" s="165"/>
      <c r="BW3" s="165"/>
      <c r="BX3" s="165"/>
      <c r="BY3" s="165"/>
      <c r="BZ3" s="165"/>
      <c r="CA3" s="165"/>
      <c r="CB3" s="165"/>
      <c r="CC3" s="165"/>
      <c r="CD3" s="165"/>
      <c r="CE3" s="165"/>
      <c r="CL3" s="166" t="s">
        <v>253</v>
      </c>
      <c r="CM3" s="173"/>
      <c r="CN3" s="165">
        <v>0</v>
      </c>
      <c r="CO3" s="165"/>
      <c r="CP3" s="165"/>
      <c r="CQ3" s="165"/>
      <c r="CR3" s="165"/>
      <c r="CS3" s="165"/>
      <c r="CT3" s="165"/>
      <c r="CU3" s="165"/>
      <c r="CV3" s="165"/>
      <c r="CW3" s="165"/>
      <c r="CX3" s="165"/>
      <c r="CY3" s="165"/>
      <c r="CZ3" s="165"/>
      <c r="DA3" s="165"/>
      <c r="DD3" s="166" t="s">
        <v>253</v>
      </c>
      <c r="DE3" s="172"/>
      <c r="DF3" s="165">
        <v>0</v>
      </c>
      <c r="DG3" s="165"/>
      <c r="DH3" s="165"/>
      <c r="DI3" s="165"/>
      <c r="DJ3" s="165"/>
      <c r="DK3" s="165"/>
      <c r="DL3" s="165"/>
      <c r="DM3" s="165"/>
      <c r="DN3" s="165"/>
      <c r="DO3" s="165"/>
      <c r="DP3" s="165"/>
      <c r="DQ3" s="165"/>
      <c r="DR3" s="165"/>
      <c r="DS3" s="165"/>
      <c r="DU3" s="166" t="s">
        <v>253</v>
      </c>
      <c r="DV3" s="177">
        <f t="array" ref="DV3:EJ17">(0.8*AU3:BI17)+(1.6*BQ3:CE17)</f>
        <v>0</v>
      </c>
      <c r="DW3" s="165">
        <v>0</v>
      </c>
      <c r="DX3" s="165">
        <v>0</v>
      </c>
      <c r="DY3" s="165">
        <v>0</v>
      </c>
      <c r="DZ3" s="165">
        <v>0</v>
      </c>
      <c r="EA3" s="165">
        <v>0</v>
      </c>
      <c r="EB3" s="165">
        <v>0</v>
      </c>
      <c r="EC3" s="165">
        <v>0</v>
      </c>
      <c r="ED3" s="165">
        <v>0</v>
      </c>
      <c r="EE3" s="165">
        <v>0</v>
      </c>
      <c r="EF3" s="165">
        <v>0</v>
      </c>
      <c r="EG3" s="165">
        <v>0</v>
      </c>
      <c r="EH3" s="165">
        <v>0</v>
      </c>
      <c r="EI3" s="165">
        <v>0</v>
      </c>
      <c r="EJ3" s="165">
        <v>0</v>
      </c>
      <c r="ET3" s="166" t="s">
        <v>253</v>
      </c>
      <c r="EU3" s="177">
        <f t="array" ref="EU3:FI17">(DV3:EJ17)*(AD3:AR17)</f>
        <v>0</v>
      </c>
      <c r="EV3" s="165">
        <v>0</v>
      </c>
      <c r="EW3" s="165">
        <v>0</v>
      </c>
      <c r="EX3" s="165">
        <v>0</v>
      </c>
      <c r="EY3" s="165">
        <v>0</v>
      </c>
      <c r="EZ3" s="165">
        <v>0</v>
      </c>
      <c r="FA3" s="165">
        <v>0</v>
      </c>
      <c r="FB3" s="165">
        <v>0</v>
      </c>
      <c r="FC3" s="165">
        <v>0</v>
      </c>
      <c r="FD3" s="165">
        <v>0</v>
      </c>
      <c r="FE3" s="165">
        <v>0</v>
      </c>
      <c r="FF3" s="165">
        <v>0</v>
      </c>
      <c r="FG3" s="165">
        <v>0</v>
      </c>
      <c r="FH3" s="165">
        <v>0</v>
      </c>
      <c r="FI3" s="165">
        <v>0</v>
      </c>
      <c r="FK3" s="166" t="s">
        <v>253</v>
      </c>
      <c r="FL3" s="173">
        <f t="array" ref="FL3:FZ17">(CM3:DA17)*(AD3:AR17)</f>
        <v>0</v>
      </c>
      <c r="FM3" s="165">
        <v>0</v>
      </c>
      <c r="FN3" s="165">
        <v>0</v>
      </c>
      <c r="FO3" s="165">
        <v>0</v>
      </c>
      <c r="FP3" s="165">
        <v>0</v>
      </c>
      <c r="FQ3" s="165">
        <v>0</v>
      </c>
      <c r="FR3" s="165">
        <v>0</v>
      </c>
      <c r="FS3" s="165">
        <v>0</v>
      </c>
      <c r="FT3" s="165">
        <v>0</v>
      </c>
      <c r="FU3" s="165">
        <v>0</v>
      </c>
      <c r="FV3" s="165">
        <v>0</v>
      </c>
      <c r="FW3" s="165">
        <v>0</v>
      </c>
      <c r="FX3" s="165">
        <v>0</v>
      </c>
      <c r="FY3" s="165">
        <v>0</v>
      </c>
      <c r="FZ3" s="165">
        <v>0</v>
      </c>
      <c r="GC3" s="166" t="s">
        <v>253</v>
      </c>
      <c r="GD3" s="172">
        <f t="array" ref="GD3:GR17">(DE3:DS17)*(AD3:AR17)</f>
        <v>0</v>
      </c>
      <c r="GE3" s="165">
        <v>0</v>
      </c>
      <c r="GF3" s="165">
        <v>0</v>
      </c>
      <c r="GG3" s="165">
        <v>0</v>
      </c>
      <c r="GH3" s="165">
        <v>0</v>
      </c>
      <c r="GI3" s="165">
        <v>0</v>
      </c>
      <c r="GJ3" s="165">
        <v>0</v>
      </c>
      <c r="GK3" s="165">
        <v>0</v>
      </c>
      <c r="GL3" s="165">
        <v>0</v>
      </c>
      <c r="GM3" s="165">
        <v>0</v>
      </c>
      <c r="GN3" s="165">
        <v>0</v>
      </c>
      <c r="GO3" s="165">
        <v>0</v>
      </c>
      <c r="GP3" s="165">
        <v>0</v>
      </c>
      <c r="GQ3" s="165">
        <v>0</v>
      </c>
      <c r="GR3" s="165">
        <v>0</v>
      </c>
      <c r="GT3" s="166" t="s">
        <v>253</v>
      </c>
      <c r="GU3" s="165">
        <v>0</v>
      </c>
      <c r="GV3" s="165">
        <v>0</v>
      </c>
      <c r="GW3" s="165">
        <v>0</v>
      </c>
      <c r="GX3" s="185">
        <f>GU3/5387.2</f>
        <v>0</v>
      </c>
      <c r="GY3" s="185">
        <f>GV3/2314</f>
        <v>0</v>
      </c>
      <c r="GZ3" s="185">
        <f>GW3/1308</f>
        <v>0</v>
      </c>
      <c r="HA3" s="165">
        <f>GX3*24.98</f>
        <v>0</v>
      </c>
      <c r="HB3" s="165">
        <f>GY3*11.93</f>
        <v>0</v>
      </c>
      <c r="HC3" s="165">
        <f t="shared" ref="HC3:HC17" si="0">GZ3*10.94</f>
        <v>0</v>
      </c>
      <c r="HD3" s="165">
        <v>0</v>
      </c>
      <c r="HE3" s="165">
        <v>0</v>
      </c>
      <c r="HF3" s="165">
        <v>0</v>
      </c>
      <c r="HG3" s="267">
        <f>HA3+HB3+HC3+HD3+HE3+HF3</f>
        <v>0</v>
      </c>
      <c r="HH3" s="165">
        <f t="shared" ref="HH3:HH17" si="1">GX3*24.98</f>
        <v>0</v>
      </c>
      <c r="HI3" s="165">
        <f>GY3*0</f>
        <v>0</v>
      </c>
      <c r="HJ3" s="165">
        <f>GZ3*0</f>
        <v>0</v>
      </c>
      <c r="HK3" s="165">
        <v>0</v>
      </c>
      <c r="HL3" s="165">
        <v>0</v>
      </c>
      <c r="HM3" s="165">
        <v>0</v>
      </c>
      <c r="HN3" s="271">
        <f>HH3+HI3+HJ3+HK3+HL3+HM3</f>
        <v>0</v>
      </c>
    </row>
    <row r="4" spans="1:222" ht="32.4" customHeight="1" x14ac:dyDescent="0.3">
      <c r="A4" s="166" t="s">
        <v>246</v>
      </c>
      <c r="B4" s="165">
        <v>11.93</v>
      </c>
      <c r="C4" s="165">
        <v>0</v>
      </c>
      <c r="L4" s="166" t="s">
        <v>254</v>
      </c>
      <c r="M4" s="165">
        <v>1</v>
      </c>
      <c r="N4" s="178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>
        <v>1</v>
      </c>
      <c r="AC4" s="166" t="s">
        <v>254</v>
      </c>
      <c r="AD4" s="165">
        <v>255</v>
      </c>
      <c r="AE4" s="170"/>
      <c r="AF4" s="165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>
        <v>255</v>
      </c>
      <c r="AT4" s="166" t="s">
        <v>254</v>
      </c>
      <c r="AU4" s="165">
        <v>0</v>
      </c>
      <c r="AV4" s="180"/>
      <c r="AW4" s="165"/>
      <c r="AX4" s="165"/>
      <c r="AY4" s="165"/>
      <c r="AZ4" s="165"/>
      <c r="BA4" s="165"/>
      <c r="BB4" s="165"/>
      <c r="BC4" s="165"/>
      <c r="BD4" s="165"/>
      <c r="BE4" s="165"/>
      <c r="BF4" s="165"/>
      <c r="BG4" s="165"/>
      <c r="BH4" s="165"/>
      <c r="BI4" s="165">
        <v>0</v>
      </c>
      <c r="BP4" s="166" t="s">
        <v>254</v>
      </c>
      <c r="BQ4" s="165">
        <v>0</v>
      </c>
      <c r="BR4" s="175"/>
      <c r="BS4" s="165"/>
      <c r="BT4" s="165"/>
      <c r="BU4" s="165"/>
      <c r="BV4" s="165"/>
      <c r="BW4" s="165"/>
      <c r="BX4" s="165"/>
      <c r="BY4" s="165"/>
      <c r="BZ4" s="165"/>
      <c r="CA4" s="165"/>
      <c r="CB4" s="165"/>
      <c r="CC4" s="165"/>
      <c r="CD4" s="165"/>
      <c r="CE4" s="165">
        <v>0</v>
      </c>
      <c r="CL4" s="166" t="s">
        <v>254</v>
      </c>
      <c r="CM4" s="165">
        <v>0</v>
      </c>
      <c r="CN4" s="173"/>
      <c r="CO4" s="165"/>
      <c r="CP4" s="165"/>
      <c r="CQ4" s="165"/>
      <c r="CR4" s="165"/>
      <c r="CS4" s="165"/>
      <c r="CT4" s="165"/>
      <c r="CU4" s="165"/>
      <c r="CV4" s="165"/>
      <c r="CW4" s="165"/>
      <c r="CX4" s="165"/>
      <c r="CY4" s="165"/>
      <c r="CZ4" s="165"/>
      <c r="DA4" s="165">
        <v>0</v>
      </c>
      <c r="DD4" s="166" t="s">
        <v>254</v>
      </c>
      <c r="DE4" s="165">
        <v>0</v>
      </c>
      <c r="DF4" s="172"/>
      <c r="DG4" s="165"/>
      <c r="DH4" s="165"/>
      <c r="DI4" s="165"/>
      <c r="DJ4" s="165"/>
      <c r="DK4" s="165"/>
      <c r="DL4" s="165"/>
      <c r="DM4" s="165"/>
      <c r="DN4" s="165"/>
      <c r="DO4" s="165"/>
      <c r="DP4" s="165"/>
      <c r="DQ4" s="165"/>
      <c r="DR4" s="165"/>
      <c r="DS4" s="165">
        <v>0</v>
      </c>
      <c r="DU4" s="166" t="s">
        <v>254</v>
      </c>
      <c r="DV4" s="165">
        <v>0</v>
      </c>
      <c r="DW4" s="177">
        <v>0</v>
      </c>
      <c r="DX4" s="165">
        <v>0</v>
      </c>
      <c r="DY4" s="165">
        <v>0</v>
      </c>
      <c r="DZ4" s="165">
        <v>0</v>
      </c>
      <c r="EA4" s="165">
        <v>0</v>
      </c>
      <c r="EB4" s="165">
        <v>0</v>
      </c>
      <c r="EC4" s="165">
        <v>0</v>
      </c>
      <c r="ED4" s="165">
        <v>0</v>
      </c>
      <c r="EE4" s="165">
        <v>0</v>
      </c>
      <c r="EF4" s="165">
        <v>0</v>
      </c>
      <c r="EG4" s="165">
        <v>0</v>
      </c>
      <c r="EH4" s="165">
        <v>0</v>
      </c>
      <c r="EI4" s="165">
        <v>0</v>
      </c>
      <c r="EJ4" s="165">
        <v>0</v>
      </c>
      <c r="ET4" s="166" t="s">
        <v>254</v>
      </c>
      <c r="EU4" s="165">
        <v>0</v>
      </c>
      <c r="EV4" s="177">
        <v>0</v>
      </c>
      <c r="EW4" s="165">
        <v>0</v>
      </c>
      <c r="EX4" s="165">
        <v>0</v>
      </c>
      <c r="EY4" s="165">
        <v>0</v>
      </c>
      <c r="EZ4" s="165">
        <v>0</v>
      </c>
      <c r="FA4" s="165">
        <v>0</v>
      </c>
      <c r="FB4" s="165">
        <v>0</v>
      </c>
      <c r="FC4" s="165">
        <v>0</v>
      </c>
      <c r="FD4" s="165">
        <v>0</v>
      </c>
      <c r="FE4" s="165">
        <v>0</v>
      </c>
      <c r="FF4" s="165">
        <v>0</v>
      </c>
      <c r="FG4" s="165">
        <v>0</v>
      </c>
      <c r="FH4" s="165">
        <v>0</v>
      </c>
      <c r="FI4" s="165">
        <v>0</v>
      </c>
      <c r="FK4" s="166" t="s">
        <v>254</v>
      </c>
      <c r="FL4" s="165">
        <v>0</v>
      </c>
      <c r="FM4" s="173">
        <v>0</v>
      </c>
      <c r="FN4" s="165">
        <v>0</v>
      </c>
      <c r="FO4" s="165">
        <v>0</v>
      </c>
      <c r="FP4" s="165">
        <v>0</v>
      </c>
      <c r="FQ4" s="165">
        <v>0</v>
      </c>
      <c r="FR4" s="165">
        <v>0</v>
      </c>
      <c r="FS4" s="165">
        <v>0</v>
      </c>
      <c r="FT4" s="165">
        <v>0</v>
      </c>
      <c r="FU4" s="165">
        <v>0</v>
      </c>
      <c r="FV4" s="165">
        <v>0</v>
      </c>
      <c r="FW4" s="165">
        <v>0</v>
      </c>
      <c r="FX4" s="165">
        <v>0</v>
      </c>
      <c r="FY4" s="165">
        <v>0</v>
      </c>
      <c r="FZ4" s="165">
        <v>0</v>
      </c>
      <c r="GC4" s="166" t="s">
        <v>254</v>
      </c>
      <c r="GD4" s="165">
        <v>0</v>
      </c>
      <c r="GE4" s="172">
        <v>0</v>
      </c>
      <c r="GF4" s="165">
        <v>0</v>
      </c>
      <c r="GG4" s="165">
        <v>0</v>
      </c>
      <c r="GH4" s="165">
        <v>0</v>
      </c>
      <c r="GI4" s="165">
        <v>0</v>
      </c>
      <c r="GJ4" s="165">
        <v>0</v>
      </c>
      <c r="GK4" s="165">
        <v>0</v>
      </c>
      <c r="GL4" s="165">
        <v>0</v>
      </c>
      <c r="GM4" s="165">
        <v>0</v>
      </c>
      <c r="GN4" s="165">
        <v>0</v>
      </c>
      <c r="GO4" s="165">
        <v>0</v>
      </c>
      <c r="GP4" s="165">
        <v>0</v>
      </c>
      <c r="GQ4" s="165">
        <v>0</v>
      </c>
      <c r="GR4" s="165">
        <v>0</v>
      </c>
      <c r="GT4" s="166" t="s">
        <v>254</v>
      </c>
      <c r="GU4" s="165">
        <v>0</v>
      </c>
      <c r="GV4" s="165">
        <v>0</v>
      </c>
      <c r="GW4" s="165">
        <v>0</v>
      </c>
      <c r="GX4" s="185">
        <f t="shared" ref="GX4:GX17" si="2">GU4/5387.2</f>
        <v>0</v>
      </c>
      <c r="GY4" s="185">
        <f t="shared" ref="GY4:GY17" si="3">GV4/2314</f>
        <v>0</v>
      </c>
      <c r="GZ4" s="185">
        <f t="shared" ref="GZ4:GZ17" si="4">GW4/1308</f>
        <v>0</v>
      </c>
      <c r="HA4" s="165">
        <f t="shared" ref="HA4:HA17" si="5">GX4*24.98</f>
        <v>0</v>
      </c>
      <c r="HB4" s="165">
        <f t="shared" ref="HB4:HB17" si="6">GY4*11.93</f>
        <v>0</v>
      </c>
      <c r="HC4" s="165">
        <f t="shared" si="0"/>
        <v>0</v>
      </c>
      <c r="HD4" s="165">
        <v>0</v>
      </c>
      <c r="HE4" s="165">
        <v>0</v>
      </c>
      <c r="HF4" s="165">
        <v>0</v>
      </c>
      <c r="HG4" s="267">
        <f t="shared" ref="HG4:HG17" si="7">HA4+HB4+HC4+HD4+HE4+HF4</f>
        <v>0</v>
      </c>
      <c r="HH4" s="165">
        <f t="shared" si="1"/>
        <v>0</v>
      </c>
      <c r="HI4" s="165">
        <f t="shared" ref="HI4:HI17" si="8">GY4*0</f>
        <v>0</v>
      </c>
      <c r="HJ4" s="165">
        <f t="shared" ref="HJ4:HJ17" si="9">GZ4*0</f>
        <v>0</v>
      </c>
      <c r="HK4" s="165">
        <v>0</v>
      </c>
      <c r="HL4" s="165">
        <v>0</v>
      </c>
      <c r="HM4" s="165">
        <v>0</v>
      </c>
      <c r="HN4" s="271">
        <f t="shared" ref="HN4:HN17" si="10">HH4+HI4+HJ4+HK4+HL4+HM4</f>
        <v>0</v>
      </c>
    </row>
    <row r="5" spans="1:222" ht="28.8" x14ac:dyDescent="0.3">
      <c r="A5" s="164" t="s">
        <v>247</v>
      </c>
      <c r="B5" s="165">
        <v>10.94</v>
      </c>
      <c r="C5" s="165">
        <v>0</v>
      </c>
      <c r="L5" s="166" t="s">
        <v>255</v>
      </c>
      <c r="M5" s="165"/>
      <c r="N5" s="165"/>
      <c r="O5" s="178"/>
      <c r="P5" s="165">
        <v>1</v>
      </c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>
        <v>1</v>
      </c>
      <c r="AC5" s="166" t="s">
        <v>255</v>
      </c>
      <c r="AD5" s="165"/>
      <c r="AE5" s="165"/>
      <c r="AF5" s="170"/>
      <c r="AG5" s="165">
        <v>154</v>
      </c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>
        <v>151</v>
      </c>
      <c r="AT5" s="166" t="s">
        <v>255</v>
      </c>
      <c r="AU5" s="165"/>
      <c r="AV5" s="165"/>
      <c r="AW5" s="180"/>
      <c r="AX5" s="165">
        <v>1</v>
      </c>
      <c r="AY5" s="165"/>
      <c r="AZ5" s="165"/>
      <c r="BA5" s="165"/>
      <c r="BB5" s="165"/>
      <c r="BC5" s="165"/>
      <c r="BD5" s="165"/>
      <c r="BE5" s="165"/>
      <c r="BF5" s="165"/>
      <c r="BG5" s="165"/>
      <c r="BH5" s="165"/>
      <c r="BI5" s="165">
        <v>1</v>
      </c>
      <c r="BP5" s="166" t="s">
        <v>255</v>
      </c>
      <c r="BQ5" s="165"/>
      <c r="BR5" s="165"/>
      <c r="BS5" s="175"/>
      <c r="BT5" s="165">
        <v>0</v>
      </c>
      <c r="BU5" s="165"/>
      <c r="BV5" s="165"/>
      <c r="BW5" s="165"/>
      <c r="BX5" s="165"/>
      <c r="BY5" s="165"/>
      <c r="BZ5" s="165"/>
      <c r="CA5" s="165"/>
      <c r="CB5" s="165"/>
      <c r="CC5" s="165"/>
      <c r="CD5" s="165"/>
      <c r="CE5" s="165">
        <v>0</v>
      </c>
      <c r="CL5" s="166" t="s">
        <v>255</v>
      </c>
      <c r="CM5" s="165"/>
      <c r="CN5" s="165"/>
      <c r="CO5" s="173"/>
      <c r="CP5" s="165">
        <v>0</v>
      </c>
      <c r="CQ5" s="165"/>
      <c r="CR5" s="165"/>
      <c r="CS5" s="165"/>
      <c r="CT5" s="165"/>
      <c r="CU5" s="165"/>
      <c r="CV5" s="165"/>
      <c r="CW5" s="165"/>
      <c r="CX5" s="165"/>
      <c r="CY5" s="165"/>
      <c r="CZ5" s="165"/>
      <c r="DA5" s="165">
        <v>0</v>
      </c>
      <c r="DD5" s="166" t="s">
        <v>255</v>
      </c>
      <c r="DE5" s="165"/>
      <c r="DF5" s="165"/>
      <c r="DG5" s="172"/>
      <c r="DH5" s="165">
        <v>0</v>
      </c>
      <c r="DI5" s="165"/>
      <c r="DJ5" s="165"/>
      <c r="DK5" s="165"/>
      <c r="DL5" s="165"/>
      <c r="DM5" s="165"/>
      <c r="DN5" s="165"/>
      <c r="DO5" s="165"/>
      <c r="DP5" s="165"/>
      <c r="DQ5" s="165"/>
      <c r="DR5" s="165"/>
      <c r="DS5" s="165">
        <v>0</v>
      </c>
      <c r="DU5" s="166" t="s">
        <v>255</v>
      </c>
      <c r="DV5" s="165">
        <v>0</v>
      </c>
      <c r="DW5" s="165">
        <v>0</v>
      </c>
      <c r="DX5" s="177">
        <v>0</v>
      </c>
      <c r="DY5" s="165">
        <v>0.8</v>
      </c>
      <c r="DZ5" s="165">
        <v>0</v>
      </c>
      <c r="EA5" s="165">
        <v>0</v>
      </c>
      <c r="EB5" s="165">
        <v>0</v>
      </c>
      <c r="EC5" s="165">
        <v>0</v>
      </c>
      <c r="ED5" s="165">
        <v>0</v>
      </c>
      <c r="EE5" s="165">
        <v>0</v>
      </c>
      <c r="EF5" s="165">
        <v>0</v>
      </c>
      <c r="EG5" s="165">
        <v>0</v>
      </c>
      <c r="EH5" s="165">
        <v>0</v>
      </c>
      <c r="EI5" s="165">
        <v>0</v>
      </c>
      <c r="EJ5" s="165">
        <v>0.8</v>
      </c>
      <c r="ET5" s="166" t="s">
        <v>255</v>
      </c>
      <c r="EU5" s="165">
        <v>0</v>
      </c>
      <c r="EV5" s="165">
        <v>0</v>
      </c>
      <c r="EW5" s="177">
        <v>0</v>
      </c>
      <c r="EX5" s="165">
        <v>123.2</v>
      </c>
      <c r="EY5" s="165">
        <v>0</v>
      </c>
      <c r="EZ5" s="165">
        <v>0</v>
      </c>
      <c r="FA5" s="165">
        <v>0</v>
      </c>
      <c r="FB5" s="165">
        <v>0</v>
      </c>
      <c r="FC5" s="165">
        <v>0</v>
      </c>
      <c r="FD5" s="165">
        <v>0</v>
      </c>
      <c r="FE5" s="165">
        <v>0</v>
      </c>
      <c r="FF5" s="165">
        <v>0</v>
      </c>
      <c r="FG5" s="165">
        <v>0</v>
      </c>
      <c r="FH5" s="165">
        <v>0</v>
      </c>
      <c r="FI5" s="165">
        <v>120.80000000000001</v>
      </c>
      <c r="FK5" s="166" t="s">
        <v>255</v>
      </c>
      <c r="FL5" s="165">
        <v>0</v>
      </c>
      <c r="FM5" s="165">
        <v>0</v>
      </c>
      <c r="FN5" s="173">
        <v>0</v>
      </c>
      <c r="FO5" s="165">
        <v>0</v>
      </c>
      <c r="FP5" s="165">
        <v>0</v>
      </c>
      <c r="FQ5" s="165">
        <v>0</v>
      </c>
      <c r="FR5" s="165">
        <v>0</v>
      </c>
      <c r="FS5" s="165">
        <v>0</v>
      </c>
      <c r="FT5" s="165">
        <v>0</v>
      </c>
      <c r="FU5" s="165">
        <v>0</v>
      </c>
      <c r="FV5" s="165">
        <v>0</v>
      </c>
      <c r="FW5" s="165">
        <v>0</v>
      </c>
      <c r="FX5" s="165">
        <v>0</v>
      </c>
      <c r="FY5" s="165">
        <v>0</v>
      </c>
      <c r="FZ5" s="165">
        <v>0</v>
      </c>
      <c r="GC5" s="166" t="s">
        <v>255</v>
      </c>
      <c r="GD5" s="165">
        <v>0</v>
      </c>
      <c r="GE5" s="165">
        <v>0</v>
      </c>
      <c r="GF5" s="172">
        <v>0</v>
      </c>
      <c r="GG5" s="165">
        <v>0</v>
      </c>
      <c r="GH5" s="165">
        <v>0</v>
      </c>
      <c r="GI5" s="165">
        <v>0</v>
      </c>
      <c r="GJ5" s="165">
        <v>0</v>
      </c>
      <c r="GK5" s="165">
        <v>0</v>
      </c>
      <c r="GL5" s="165">
        <v>0</v>
      </c>
      <c r="GM5" s="165">
        <v>0</v>
      </c>
      <c r="GN5" s="165">
        <v>0</v>
      </c>
      <c r="GO5" s="165">
        <v>0</v>
      </c>
      <c r="GP5" s="165">
        <v>0</v>
      </c>
      <c r="GQ5" s="165">
        <v>0</v>
      </c>
      <c r="GR5" s="165">
        <v>0</v>
      </c>
      <c r="GT5" s="166" t="s">
        <v>255</v>
      </c>
      <c r="GU5" s="165">
        <f>EX5+FI5</f>
        <v>244</v>
      </c>
      <c r="GV5" s="165">
        <v>0</v>
      </c>
      <c r="GW5" s="165">
        <v>0</v>
      </c>
      <c r="GX5" s="185">
        <f t="shared" si="2"/>
        <v>4.5292545292545297E-2</v>
      </c>
      <c r="GY5" s="185">
        <f t="shared" si="3"/>
        <v>0</v>
      </c>
      <c r="GZ5" s="185">
        <f t="shared" si="4"/>
        <v>0</v>
      </c>
      <c r="HA5" s="165">
        <f t="shared" si="5"/>
        <v>1.1314077814077816</v>
      </c>
      <c r="HB5" s="165">
        <f t="shared" si="6"/>
        <v>0</v>
      </c>
      <c r="HC5" s="165">
        <f t="shared" si="0"/>
        <v>0</v>
      </c>
      <c r="HD5" s="165">
        <v>0</v>
      </c>
      <c r="HE5" s="165">
        <v>4.18</v>
      </c>
      <c r="HF5" s="165">
        <v>0</v>
      </c>
      <c r="HG5" s="267">
        <f t="shared" si="7"/>
        <v>5.3114077814077811</v>
      </c>
      <c r="HH5" s="165">
        <f t="shared" si="1"/>
        <v>1.1314077814077816</v>
      </c>
      <c r="HI5" s="165">
        <f t="shared" si="8"/>
        <v>0</v>
      </c>
      <c r="HJ5" s="165">
        <f t="shared" si="9"/>
        <v>0</v>
      </c>
      <c r="HK5" s="165">
        <v>0</v>
      </c>
      <c r="HL5" s="165">
        <v>4.18</v>
      </c>
      <c r="HM5" s="165">
        <v>0</v>
      </c>
      <c r="HN5" s="271">
        <f t="shared" si="10"/>
        <v>5.3114077814077811</v>
      </c>
    </row>
    <row r="6" spans="1:222" ht="32.4" customHeight="1" x14ac:dyDescent="0.3">
      <c r="A6" s="166" t="s">
        <v>248</v>
      </c>
      <c r="B6" s="165">
        <v>4.1900000000000004</v>
      </c>
      <c r="C6" s="165">
        <v>4.1900000000000004</v>
      </c>
      <c r="L6" s="166" t="s">
        <v>256</v>
      </c>
      <c r="M6" s="165"/>
      <c r="N6" s="165"/>
      <c r="O6" s="165">
        <v>1</v>
      </c>
      <c r="P6" s="178"/>
      <c r="Q6" s="165">
        <v>1</v>
      </c>
      <c r="R6" s="165"/>
      <c r="S6" s="165">
        <v>1</v>
      </c>
      <c r="T6" s="165"/>
      <c r="U6" s="165"/>
      <c r="V6" s="165"/>
      <c r="W6" s="165"/>
      <c r="X6" s="165"/>
      <c r="Y6" s="165">
        <v>1</v>
      </c>
      <c r="Z6" s="165"/>
      <c r="AA6" s="165"/>
      <c r="AC6" s="166" t="s">
        <v>256</v>
      </c>
      <c r="AD6" s="165"/>
      <c r="AE6" s="165"/>
      <c r="AF6" s="165">
        <v>154</v>
      </c>
      <c r="AG6" s="170"/>
      <c r="AH6" s="165">
        <v>144</v>
      </c>
      <c r="AI6" s="165"/>
      <c r="AJ6" s="165">
        <v>150</v>
      </c>
      <c r="AK6" s="165"/>
      <c r="AL6" s="165"/>
      <c r="AM6" s="165"/>
      <c r="AN6" s="165"/>
      <c r="AO6" s="165"/>
      <c r="AP6" s="165">
        <v>162</v>
      </c>
      <c r="AQ6" s="165"/>
      <c r="AR6" s="165"/>
      <c r="AT6" s="166" t="s">
        <v>256</v>
      </c>
      <c r="AU6" s="165"/>
      <c r="AV6" s="165"/>
      <c r="AW6" s="165">
        <v>1</v>
      </c>
      <c r="AX6" s="180"/>
      <c r="AY6" s="165">
        <v>0</v>
      </c>
      <c r="AZ6" s="165"/>
      <c r="BA6" s="165">
        <v>0</v>
      </c>
      <c r="BB6" s="165"/>
      <c r="BC6" s="165"/>
      <c r="BD6" s="165"/>
      <c r="BE6" s="165"/>
      <c r="BF6" s="165"/>
      <c r="BG6" s="165">
        <v>1</v>
      </c>
      <c r="BH6" s="165"/>
      <c r="BI6" s="165"/>
      <c r="BP6" s="166" t="s">
        <v>256</v>
      </c>
      <c r="BQ6" s="165"/>
      <c r="BR6" s="165"/>
      <c r="BS6" s="165">
        <v>0</v>
      </c>
      <c r="BT6" s="175"/>
      <c r="BU6" s="165">
        <v>0</v>
      </c>
      <c r="BV6" s="165"/>
      <c r="BW6" s="165">
        <v>1</v>
      </c>
      <c r="BX6" s="165"/>
      <c r="BY6" s="165"/>
      <c r="BZ6" s="165"/>
      <c r="CA6" s="165"/>
      <c r="CB6" s="165"/>
      <c r="CC6" s="165">
        <v>1</v>
      </c>
      <c r="CD6" s="165"/>
      <c r="CE6" s="165"/>
      <c r="CL6" s="166" t="s">
        <v>256</v>
      </c>
      <c r="CM6" s="165"/>
      <c r="CN6" s="165"/>
      <c r="CO6" s="165">
        <v>0</v>
      </c>
      <c r="CP6" s="173"/>
      <c r="CQ6" s="165">
        <v>0</v>
      </c>
      <c r="CR6" s="165"/>
      <c r="CS6" s="165">
        <v>1</v>
      </c>
      <c r="CT6" s="165"/>
      <c r="CU6" s="165"/>
      <c r="CV6" s="165"/>
      <c r="CW6" s="165"/>
      <c r="CX6" s="165"/>
      <c r="CY6" s="165">
        <v>1</v>
      </c>
      <c r="CZ6" s="165"/>
      <c r="DA6" s="165"/>
      <c r="DD6" s="166" t="s">
        <v>256</v>
      </c>
      <c r="DE6" s="165"/>
      <c r="DF6" s="165"/>
      <c r="DG6" s="165">
        <v>0</v>
      </c>
      <c r="DH6" s="172"/>
      <c r="DI6" s="165">
        <v>1</v>
      </c>
      <c r="DJ6" s="165"/>
      <c r="DK6" s="165">
        <v>1</v>
      </c>
      <c r="DL6" s="165"/>
      <c r="DM6" s="165"/>
      <c r="DN6" s="165"/>
      <c r="DO6" s="165"/>
      <c r="DP6" s="165"/>
      <c r="DQ6" s="165">
        <v>0</v>
      </c>
      <c r="DR6" s="165"/>
      <c r="DS6" s="165"/>
      <c r="DU6" s="166" t="s">
        <v>256</v>
      </c>
      <c r="DV6" s="165">
        <v>0</v>
      </c>
      <c r="DW6" s="165">
        <v>0</v>
      </c>
      <c r="DX6" s="165">
        <v>0.8</v>
      </c>
      <c r="DY6" s="177">
        <v>0</v>
      </c>
      <c r="DZ6" s="165">
        <v>0</v>
      </c>
      <c r="EA6" s="165">
        <v>0</v>
      </c>
      <c r="EB6" s="165">
        <v>1.6</v>
      </c>
      <c r="EC6" s="165">
        <v>0</v>
      </c>
      <c r="ED6" s="165">
        <v>0</v>
      </c>
      <c r="EE6" s="165">
        <v>0</v>
      </c>
      <c r="EF6" s="165">
        <v>0</v>
      </c>
      <c r="EG6" s="165">
        <v>0</v>
      </c>
      <c r="EH6" s="165">
        <v>2.4000000000000004</v>
      </c>
      <c r="EI6" s="165">
        <v>0</v>
      </c>
      <c r="EJ6" s="165">
        <v>0</v>
      </c>
      <c r="EO6" s="120"/>
      <c r="ET6" s="166" t="s">
        <v>256</v>
      </c>
      <c r="EU6" s="165">
        <v>0</v>
      </c>
      <c r="EV6" s="165">
        <v>0</v>
      </c>
      <c r="EW6" s="165">
        <v>123.2</v>
      </c>
      <c r="EX6" s="177">
        <v>0</v>
      </c>
      <c r="EY6" s="165">
        <v>0</v>
      </c>
      <c r="EZ6" s="165">
        <v>0</v>
      </c>
      <c r="FA6" s="165">
        <v>240</v>
      </c>
      <c r="FB6" s="165">
        <v>0</v>
      </c>
      <c r="FC6" s="165">
        <v>0</v>
      </c>
      <c r="FD6" s="165">
        <v>0</v>
      </c>
      <c r="FE6" s="165">
        <v>0</v>
      </c>
      <c r="FF6" s="165">
        <v>0</v>
      </c>
      <c r="FG6" s="165">
        <v>388.80000000000007</v>
      </c>
      <c r="FH6" s="165">
        <v>0</v>
      </c>
      <c r="FI6" s="165">
        <v>0</v>
      </c>
      <c r="FK6" s="166" t="s">
        <v>256</v>
      </c>
      <c r="FL6" s="165">
        <v>0</v>
      </c>
      <c r="FM6" s="165">
        <v>0</v>
      </c>
      <c r="FN6" s="165">
        <v>0</v>
      </c>
      <c r="FO6" s="173">
        <v>0</v>
      </c>
      <c r="FP6" s="165">
        <v>0</v>
      </c>
      <c r="FQ6" s="165">
        <v>0</v>
      </c>
      <c r="FR6" s="165">
        <v>150</v>
      </c>
      <c r="FS6" s="165">
        <v>0</v>
      </c>
      <c r="FT6" s="165">
        <v>0</v>
      </c>
      <c r="FU6" s="165">
        <v>0</v>
      </c>
      <c r="FV6" s="165">
        <v>0</v>
      </c>
      <c r="FW6" s="165">
        <v>0</v>
      </c>
      <c r="FX6" s="165">
        <v>162</v>
      </c>
      <c r="FY6" s="165">
        <v>0</v>
      </c>
      <c r="FZ6" s="165">
        <v>0</v>
      </c>
      <c r="GC6" s="166" t="s">
        <v>256</v>
      </c>
      <c r="GD6" s="165">
        <v>0</v>
      </c>
      <c r="GE6" s="165">
        <v>0</v>
      </c>
      <c r="GF6" s="165">
        <v>0</v>
      </c>
      <c r="GG6" s="172">
        <v>0</v>
      </c>
      <c r="GH6" s="165">
        <v>144</v>
      </c>
      <c r="GI6" s="165">
        <v>0</v>
      </c>
      <c r="GJ6" s="165">
        <v>150</v>
      </c>
      <c r="GK6" s="165">
        <v>0</v>
      </c>
      <c r="GL6" s="165">
        <v>0</v>
      </c>
      <c r="GM6" s="165">
        <v>0</v>
      </c>
      <c r="GN6" s="165">
        <v>0</v>
      </c>
      <c r="GO6" s="165">
        <v>0</v>
      </c>
      <c r="GP6" s="165">
        <v>0</v>
      </c>
      <c r="GQ6" s="165">
        <v>0</v>
      </c>
      <c r="GR6" s="165">
        <v>0</v>
      </c>
      <c r="GT6" s="166" t="s">
        <v>256</v>
      </c>
      <c r="GU6" s="165">
        <f>123.2+240+388.8</f>
        <v>752</v>
      </c>
      <c r="GV6" s="165">
        <f>150+162</f>
        <v>312</v>
      </c>
      <c r="GW6" s="165">
        <f>144+150</f>
        <v>294</v>
      </c>
      <c r="GX6" s="185">
        <f t="shared" si="2"/>
        <v>0.13959013959013961</v>
      </c>
      <c r="GY6" s="185">
        <f t="shared" si="3"/>
        <v>0.1348314606741573</v>
      </c>
      <c r="GZ6" s="185">
        <f t="shared" si="4"/>
        <v>0.22477064220183487</v>
      </c>
      <c r="HA6" s="165">
        <f t="shared" si="5"/>
        <v>3.4869616869616875</v>
      </c>
      <c r="HB6" s="165">
        <f t="shared" si="6"/>
        <v>1.6085393258426965</v>
      </c>
      <c r="HC6" s="165">
        <f t="shared" si="0"/>
        <v>2.4589908256880735</v>
      </c>
      <c r="HD6" s="165">
        <v>0</v>
      </c>
      <c r="HE6" s="165">
        <v>0</v>
      </c>
      <c r="HF6" s="165">
        <v>5</v>
      </c>
      <c r="HG6" s="267">
        <f t="shared" si="7"/>
        <v>12.554491838492456</v>
      </c>
      <c r="HH6" s="165">
        <f t="shared" si="1"/>
        <v>3.4869616869616875</v>
      </c>
      <c r="HI6" s="165">
        <f t="shared" si="8"/>
        <v>0</v>
      </c>
      <c r="HJ6" s="165">
        <f t="shared" si="9"/>
        <v>0</v>
      </c>
      <c r="HK6" s="165">
        <v>0</v>
      </c>
      <c r="HL6" s="165">
        <v>0</v>
      </c>
      <c r="HM6" s="165">
        <v>5</v>
      </c>
      <c r="HN6" s="271">
        <f t="shared" si="10"/>
        <v>8.4869616869616884</v>
      </c>
    </row>
    <row r="7" spans="1:222" ht="22.8" customHeight="1" x14ac:dyDescent="0.3">
      <c r="A7" s="166" t="s">
        <v>249</v>
      </c>
      <c r="B7" s="165">
        <v>0</v>
      </c>
      <c r="C7" s="165">
        <v>1</v>
      </c>
      <c r="L7" s="166" t="s">
        <v>257</v>
      </c>
      <c r="M7" s="165"/>
      <c r="N7" s="165"/>
      <c r="O7" s="165"/>
      <c r="P7" s="165">
        <v>1</v>
      </c>
      <c r="Q7" s="178"/>
      <c r="R7" s="165">
        <v>1</v>
      </c>
      <c r="S7" s="165"/>
      <c r="T7" s="165"/>
      <c r="U7" s="165"/>
      <c r="V7" s="165"/>
      <c r="W7" s="165"/>
      <c r="X7" s="165"/>
      <c r="Y7" s="165"/>
      <c r="Z7" s="165"/>
      <c r="AA7" s="165"/>
      <c r="AC7" s="166" t="s">
        <v>257</v>
      </c>
      <c r="AD7" s="165"/>
      <c r="AE7" s="165"/>
      <c r="AF7" s="165"/>
      <c r="AG7" s="165">
        <v>144</v>
      </c>
      <c r="AH7" s="170"/>
      <c r="AI7" s="165">
        <v>169</v>
      </c>
      <c r="AJ7" s="165"/>
      <c r="AK7" s="165"/>
      <c r="AL7" s="165"/>
      <c r="AM7" s="165"/>
      <c r="AN7" s="165"/>
      <c r="AO7" s="165"/>
      <c r="AP7" s="165"/>
      <c r="AQ7" s="165"/>
      <c r="AR7" s="165"/>
      <c r="AT7" s="166" t="s">
        <v>257</v>
      </c>
      <c r="AU7" s="165"/>
      <c r="AV7" s="165"/>
      <c r="AW7" s="165"/>
      <c r="AX7" s="165">
        <v>0</v>
      </c>
      <c r="AY7" s="180"/>
      <c r="AZ7" s="165">
        <v>0</v>
      </c>
      <c r="BA7" s="165"/>
      <c r="BB7" s="165"/>
      <c r="BC7" s="165"/>
      <c r="BD7" s="165"/>
      <c r="BE7" s="165"/>
      <c r="BF7" s="165"/>
      <c r="BG7" s="165"/>
      <c r="BH7" s="165"/>
      <c r="BI7" s="165"/>
      <c r="BP7" s="166" t="s">
        <v>257</v>
      </c>
      <c r="BQ7" s="165"/>
      <c r="BR7" s="165"/>
      <c r="BS7" s="165"/>
      <c r="BT7" s="165">
        <v>0</v>
      </c>
      <c r="BU7" s="175"/>
      <c r="BV7" s="165">
        <v>0</v>
      </c>
      <c r="BW7" s="165"/>
      <c r="BX7" s="165"/>
      <c r="BY7" s="165"/>
      <c r="BZ7" s="165"/>
      <c r="CA7" s="165"/>
      <c r="CB7" s="165"/>
      <c r="CC7" s="165"/>
      <c r="CD7" s="165"/>
      <c r="CE7" s="165"/>
      <c r="CL7" s="166" t="s">
        <v>257</v>
      </c>
      <c r="CM7" s="165"/>
      <c r="CN7" s="165"/>
      <c r="CO7" s="165"/>
      <c r="CP7" s="165">
        <v>0</v>
      </c>
      <c r="CQ7" s="173"/>
      <c r="CR7" s="165">
        <v>0</v>
      </c>
      <c r="CS7" s="165"/>
      <c r="CT7" s="165"/>
      <c r="CU7" s="165"/>
      <c r="CV7" s="165"/>
      <c r="CW7" s="165"/>
      <c r="CX7" s="165"/>
      <c r="CY7" s="165"/>
      <c r="CZ7" s="165"/>
      <c r="DA7" s="165"/>
      <c r="DD7" s="166" t="s">
        <v>257</v>
      </c>
      <c r="DE7" s="165"/>
      <c r="DF7" s="165"/>
      <c r="DG7" s="165"/>
      <c r="DH7" s="165">
        <v>1</v>
      </c>
      <c r="DI7" s="172"/>
      <c r="DJ7" s="165">
        <v>1</v>
      </c>
      <c r="DK7" s="165"/>
      <c r="DL7" s="165"/>
      <c r="DM7" s="165"/>
      <c r="DN7" s="165"/>
      <c r="DO7" s="165"/>
      <c r="DP7" s="165"/>
      <c r="DQ7" s="165"/>
      <c r="DR7" s="165"/>
      <c r="DS7" s="165"/>
      <c r="DU7" s="166" t="s">
        <v>257</v>
      </c>
      <c r="DV7" s="165">
        <v>0</v>
      </c>
      <c r="DW7" s="165">
        <v>0</v>
      </c>
      <c r="DX7" s="165">
        <v>0</v>
      </c>
      <c r="DY7" s="165">
        <v>0</v>
      </c>
      <c r="DZ7" s="177">
        <v>0</v>
      </c>
      <c r="EA7" s="165">
        <v>0</v>
      </c>
      <c r="EB7" s="165">
        <v>0</v>
      </c>
      <c r="EC7" s="165">
        <v>0</v>
      </c>
      <c r="ED7" s="165">
        <v>0</v>
      </c>
      <c r="EE7" s="165">
        <v>0</v>
      </c>
      <c r="EF7" s="165">
        <v>0</v>
      </c>
      <c r="EG7" s="165">
        <v>0</v>
      </c>
      <c r="EH7" s="165">
        <v>0</v>
      </c>
      <c r="EI7" s="165">
        <v>0</v>
      </c>
      <c r="EJ7" s="165">
        <v>0</v>
      </c>
      <c r="ET7" s="166" t="s">
        <v>257</v>
      </c>
      <c r="EU7" s="165">
        <v>0</v>
      </c>
      <c r="EV7" s="165">
        <v>0</v>
      </c>
      <c r="EW7" s="165">
        <v>0</v>
      </c>
      <c r="EX7" s="165">
        <v>0</v>
      </c>
      <c r="EY7" s="177">
        <v>0</v>
      </c>
      <c r="EZ7" s="165">
        <v>0</v>
      </c>
      <c r="FA7" s="165">
        <v>0</v>
      </c>
      <c r="FB7" s="165">
        <v>0</v>
      </c>
      <c r="FC7" s="165">
        <v>0</v>
      </c>
      <c r="FD7" s="165">
        <v>0</v>
      </c>
      <c r="FE7" s="165">
        <v>0</v>
      </c>
      <c r="FF7" s="165">
        <v>0</v>
      </c>
      <c r="FG7" s="165">
        <v>0</v>
      </c>
      <c r="FH7" s="165">
        <v>0</v>
      </c>
      <c r="FI7" s="165">
        <v>0</v>
      </c>
      <c r="FK7" s="166" t="s">
        <v>257</v>
      </c>
      <c r="FL7" s="165">
        <v>0</v>
      </c>
      <c r="FM7" s="165">
        <v>0</v>
      </c>
      <c r="FN7" s="165">
        <v>0</v>
      </c>
      <c r="FO7" s="165">
        <v>0</v>
      </c>
      <c r="FP7" s="173">
        <v>0</v>
      </c>
      <c r="FQ7" s="165">
        <v>0</v>
      </c>
      <c r="FR7" s="165">
        <v>0</v>
      </c>
      <c r="FS7" s="165">
        <v>0</v>
      </c>
      <c r="FT7" s="165">
        <v>0</v>
      </c>
      <c r="FU7" s="165">
        <v>0</v>
      </c>
      <c r="FV7" s="165">
        <v>0</v>
      </c>
      <c r="FW7" s="165">
        <v>0</v>
      </c>
      <c r="FX7" s="165">
        <v>0</v>
      </c>
      <c r="FY7" s="165">
        <v>0</v>
      </c>
      <c r="FZ7" s="165">
        <v>0</v>
      </c>
      <c r="GC7" s="166" t="s">
        <v>257</v>
      </c>
      <c r="GD7" s="165">
        <v>0</v>
      </c>
      <c r="GE7" s="165">
        <v>0</v>
      </c>
      <c r="GF7" s="165">
        <v>0</v>
      </c>
      <c r="GG7" s="165">
        <v>144</v>
      </c>
      <c r="GH7" s="172">
        <v>0</v>
      </c>
      <c r="GI7" s="165">
        <v>169</v>
      </c>
      <c r="GJ7" s="165">
        <v>0</v>
      </c>
      <c r="GK7" s="165">
        <v>0</v>
      </c>
      <c r="GL7" s="165">
        <v>0</v>
      </c>
      <c r="GM7" s="165">
        <v>0</v>
      </c>
      <c r="GN7" s="165">
        <v>0</v>
      </c>
      <c r="GO7" s="165">
        <v>0</v>
      </c>
      <c r="GP7" s="165">
        <v>0</v>
      </c>
      <c r="GQ7" s="165">
        <v>0</v>
      </c>
      <c r="GR7" s="165">
        <v>0</v>
      </c>
      <c r="GT7" s="166" t="s">
        <v>257</v>
      </c>
      <c r="GU7" s="165">
        <f>0</f>
        <v>0</v>
      </c>
      <c r="GV7" s="165">
        <v>0</v>
      </c>
      <c r="GW7" s="165">
        <f>144+169</f>
        <v>313</v>
      </c>
      <c r="GX7" s="185">
        <f t="shared" si="2"/>
        <v>0</v>
      </c>
      <c r="GY7" s="185">
        <f t="shared" si="3"/>
        <v>0</v>
      </c>
      <c r="GZ7" s="185">
        <f t="shared" si="4"/>
        <v>0.2392966360856269</v>
      </c>
      <c r="HA7" s="165">
        <f t="shared" si="5"/>
        <v>0</v>
      </c>
      <c r="HB7" s="165">
        <f t="shared" si="6"/>
        <v>0</v>
      </c>
      <c r="HC7" s="165">
        <f t="shared" si="0"/>
        <v>2.6179051987767581</v>
      </c>
      <c r="HD7" s="165">
        <v>0</v>
      </c>
      <c r="HE7" s="165">
        <v>0</v>
      </c>
      <c r="HF7" s="165">
        <v>0</v>
      </c>
      <c r="HG7" s="267">
        <f t="shared" si="7"/>
        <v>2.6179051987767581</v>
      </c>
      <c r="HH7" s="165">
        <f t="shared" si="1"/>
        <v>0</v>
      </c>
      <c r="HI7" s="165">
        <f t="shared" si="8"/>
        <v>0</v>
      </c>
      <c r="HJ7" s="165">
        <f t="shared" si="9"/>
        <v>0</v>
      </c>
      <c r="HK7" s="165">
        <v>0</v>
      </c>
      <c r="HL7" s="165">
        <v>0</v>
      </c>
      <c r="HM7" s="165">
        <v>0</v>
      </c>
      <c r="HN7" s="271">
        <f t="shared" si="10"/>
        <v>0</v>
      </c>
    </row>
    <row r="8" spans="1:222" ht="25.8" customHeight="1" x14ac:dyDescent="0.3">
      <c r="A8" s="32" t="s">
        <v>93</v>
      </c>
      <c r="B8" s="165">
        <f>SUM(B3:B7)</f>
        <v>52.039999999999992</v>
      </c>
      <c r="C8" s="165">
        <f>SUM(C3:C7)</f>
        <v>30.17</v>
      </c>
      <c r="L8" s="166" t="s">
        <v>258</v>
      </c>
      <c r="M8" s="165"/>
      <c r="N8" s="165"/>
      <c r="O8" s="165"/>
      <c r="P8" s="165"/>
      <c r="Q8" s="165">
        <v>1</v>
      </c>
      <c r="R8" s="178"/>
      <c r="S8" s="165">
        <v>1</v>
      </c>
      <c r="T8" s="165"/>
      <c r="U8" s="165"/>
      <c r="V8" s="165"/>
      <c r="W8" s="165"/>
      <c r="X8" s="165"/>
      <c r="Y8" s="165"/>
      <c r="Z8" s="165"/>
      <c r="AA8" s="165"/>
      <c r="AC8" s="166" t="s">
        <v>258</v>
      </c>
      <c r="AD8" s="165"/>
      <c r="AE8" s="165"/>
      <c r="AF8" s="165"/>
      <c r="AG8" s="165"/>
      <c r="AH8" s="165">
        <v>169</v>
      </c>
      <c r="AI8" s="170"/>
      <c r="AJ8" s="165">
        <v>191</v>
      </c>
      <c r="AK8" s="165"/>
      <c r="AL8" s="165"/>
      <c r="AM8" s="165"/>
      <c r="AN8" s="165"/>
      <c r="AO8" s="165"/>
      <c r="AP8" s="165"/>
      <c r="AQ8" s="165"/>
      <c r="AR8" s="165"/>
      <c r="AT8" s="166" t="s">
        <v>258</v>
      </c>
      <c r="AU8" s="165"/>
      <c r="AV8" s="165"/>
      <c r="AW8" s="165"/>
      <c r="AX8" s="165"/>
      <c r="AY8" s="165">
        <v>0</v>
      </c>
      <c r="AZ8" s="180"/>
      <c r="BA8" s="165">
        <v>0</v>
      </c>
      <c r="BB8" s="165"/>
      <c r="BC8" s="165"/>
      <c r="BD8" s="165"/>
      <c r="BE8" s="165"/>
      <c r="BF8" s="165"/>
      <c r="BG8" s="165"/>
      <c r="BH8" s="165"/>
      <c r="BI8" s="165"/>
      <c r="BP8" s="166" t="s">
        <v>258</v>
      </c>
      <c r="BQ8" s="165"/>
      <c r="BR8" s="165"/>
      <c r="BS8" s="165"/>
      <c r="BT8" s="165"/>
      <c r="BU8" s="165">
        <v>0</v>
      </c>
      <c r="BV8" s="175"/>
      <c r="BW8" s="165">
        <v>0</v>
      </c>
      <c r="BX8" s="165"/>
      <c r="BY8" s="165"/>
      <c r="BZ8" s="165"/>
      <c r="CA8" s="165"/>
      <c r="CB8" s="165"/>
      <c r="CC8" s="165"/>
      <c r="CD8" s="165"/>
      <c r="CE8" s="165"/>
      <c r="CL8" s="166" t="s">
        <v>258</v>
      </c>
      <c r="CM8" s="165"/>
      <c r="CN8" s="165"/>
      <c r="CO8" s="165"/>
      <c r="CP8" s="165"/>
      <c r="CQ8" s="165">
        <v>0</v>
      </c>
      <c r="CR8" s="173"/>
      <c r="CS8" s="165">
        <v>0</v>
      </c>
      <c r="CT8" s="165"/>
      <c r="CU8" s="165"/>
      <c r="CV8" s="165"/>
      <c r="CW8" s="165"/>
      <c r="CX8" s="165"/>
      <c r="CY8" s="165"/>
      <c r="CZ8" s="165"/>
      <c r="DA8" s="165"/>
      <c r="DD8" s="166" t="s">
        <v>258</v>
      </c>
      <c r="DE8" s="165"/>
      <c r="DF8" s="165"/>
      <c r="DG8" s="165"/>
      <c r="DH8" s="165"/>
      <c r="DI8" s="165">
        <v>1</v>
      </c>
      <c r="DJ8" s="172"/>
      <c r="DK8" s="165">
        <v>1</v>
      </c>
      <c r="DL8" s="165"/>
      <c r="DM8" s="165"/>
      <c r="DN8" s="165"/>
      <c r="DO8" s="165"/>
      <c r="DP8" s="165"/>
      <c r="DQ8" s="165"/>
      <c r="DR8" s="165"/>
      <c r="DS8" s="165"/>
      <c r="DU8" s="166" t="s">
        <v>258</v>
      </c>
      <c r="DV8" s="165">
        <v>0</v>
      </c>
      <c r="DW8" s="165">
        <v>0</v>
      </c>
      <c r="DX8" s="165">
        <v>0</v>
      </c>
      <c r="DY8" s="165">
        <v>0</v>
      </c>
      <c r="DZ8" s="165">
        <v>0</v>
      </c>
      <c r="EA8" s="177">
        <v>0</v>
      </c>
      <c r="EB8" s="165">
        <v>0</v>
      </c>
      <c r="EC8" s="165">
        <v>0</v>
      </c>
      <c r="ED8" s="165">
        <v>0</v>
      </c>
      <c r="EE8" s="165">
        <v>0</v>
      </c>
      <c r="EF8" s="165">
        <v>0</v>
      </c>
      <c r="EG8" s="165">
        <v>0</v>
      </c>
      <c r="EH8" s="165">
        <v>0</v>
      </c>
      <c r="EI8" s="165">
        <v>0</v>
      </c>
      <c r="EJ8" s="165">
        <v>0</v>
      </c>
      <c r="ET8" s="166" t="s">
        <v>258</v>
      </c>
      <c r="EU8" s="165">
        <v>0</v>
      </c>
      <c r="EV8" s="165">
        <v>0</v>
      </c>
      <c r="EW8" s="165">
        <v>0</v>
      </c>
      <c r="EX8" s="165">
        <v>0</v>
      </c>
      <c r="EY8" s="165">
        <v>0</v>
      </c>
      <c r="EZ8" s="177">
        <v>0</v>
      </c>
      <c r="FA8" s="165">
        <v>0</v>
      </c>
      <c r="FB8" s="165">
        <v>0</v>
      </c>
      <c r="FC8" s="165">
        <v>0</v>
      </c>
      <c r="FD8" s="165">
        <v>0</v>
      </c>
      <c r="FE8" s="165">
        <v>0</v>
      </c>
      <c r="FF8" s="165">
        <v>0</v>
      </c>
      <c r="FG8" s="165">
        <v>0</v>
      </c>
      <c r="FH8" s="165">
        <v>0</v>
      </c>
      <c r="FI8" s="165">
        <v>0</v>
      </c>
      <c r="FK8" s="166" t="s">
        <v>258</v>
      </c>
      <c r="FL8" s="165">
        <v>0</v>
      </c>
      <c r="FM8" s="165">
        <v>0</v>
      </c>
      <c r="FN8" s="165">
        <v>0</v>
      </c>
      <c r="FO8" s="165">
        <v>0</v>
      </c>
      <c r="FP8" s="165">
        <v>0</v>
      </c>
      <c r="FQ8" s="173">
        <v>0</v>
      </c>
      <c r="FR8" s="165">
        <v>0</v>
      </c>
      <c r="FS8" s="165">
        <v>0</v>
      </c>
      <c r="FT8" s="165">
        <v>0</v>
      </c>
      <c r="FU8" s="165">
        <v>0</v>
      </c>
      <c r="FV8" s="165">
        <v>0</v>
      </c>
      <c r="FW8" s="165">
        <v>0</v>
      </c>
      <c r="FX8" s="165">
        <v>0</v>
      </c>
      <c r="FY8" s="165">
        <v>0</v>
      </c>
      <c r="FZ8" s="165">
        <v>0</v>
      </c>
      <c r="GC8" s="166" t="s">
        <v>258</v>
      </c>
      <c r="GD8" s="165">
        <v>0</v>
      </c>
      <c r="GE8" s="165">
        <v>0</v>
      </c>
      <c r="GF8" s="165">
        <v>0</v>
      </c>
      <c r="GG8" s="165">
        <v>0</v>
      </c>
      <c r="GH8" s="165">
        <v>169</v>
      </c>
      <c r="GI8" s="172">
        <v>0</v>
      </c>
      <c r="GJ8" s="165">
        <v>191</v>
      </c>
      <c r="GK8" s="165">
        <v>0</v>
      </c>
      <c r="GL8" s="165">
        <v>0</v>
      </c>
      <c r="GM8" s="165">
        <v>0</v>
      </c>
      <c r="GN8" s="165">
        <v>0</v>
      </c>
      <c r="GO8" s="165">
        <v>0</v>
      </c>
      <c r="GP8" s="165">
        <v>0</v>
      </c>
      <c r="GQ8" s="165">
        <v>0</v>
      </c>
      <c r="GR8" s="165">
        <v>0</v>
      </c>
      <c r="GT8" s="166" t="s">
        <v>258</v>
      </c>
      <c r="GU8" s="165">
        <f>0</f>
        <v>0</v>
      </c>
      <c r="GV8" s="165">
        <v>0</v>
      </c>
      <c r="GW8" s="165">
        <f>169+191</f>
        <v>360</v>
      </c>
      <c r="GX8" s="185">
        <f t="shared" si="2"/>
        <v>0</v>
      </c>
      <c r="GY8" s="185">
        <f t="shared" si="3"/>
        <v>0</v>
      </c>
      <c r="GZ8" s="185">
        <f t="shared" si="4"/>
        <v>0.27522935779816515</v>
      </c>
      <c r="HA8" s="165">
        <f t="shared" si="5"/>
        <v>0</v>
      </c>
      <c r="HB8" s="165">
        <f t="shared" si="6"/>
        <v>0</v>
      </c>
      <c r="HC8" s="165">
        <f t="shared" si="0"/>
        <v>3.0110091743119267</v>
      </c>
      <c r="HD8" s="165">
        <v>0</v>
      </c>
      <c r="HE8" s="165">
        <v>0</v>
      </c>
      <c r="HF8" s="165">
        <v>0</v>
      </c>
      <c r="HG8" s="267">
        <f t="shared" si="7"/>
        <v>3.0110091743119267</v>
      </c>
      <c r="HH8" s="165">
        <f t="shared" si="1"/>
        <v>0</v>
      </c>
      <c r="HI8" s="165">
        <f t="shared" si="8"/>
        <v>0</v>
      </c>
      <c r="HJ8" s="165">
        <f t="shared" si="9"/>
        <v>0</v>
      </c>
      <c r="HK8" s="165">
        <v>0</v>
      </c>
      <c r="HL8" s="165">
        <v>0</v>
      </c>
      <c r="HM8" s="165">
        <v>0</v>
      </c>
      <c r="HN8" s="271">
        <f t="shared" si="10"/>
        <v>0</v>
      </c>
    </row>
    <row r="9" spans="1:222" ht="31.2" customHeight="1" x14ac:dyDescent="0.3">
      <c r="L9" s="166" t="s">
        <v>259</v>
      </c>
      <c r="M9" s="165"/>
      <c r="N9" s="165"/>
      <c r="O9" s="165"/>
      <c r="P9" s="165">
        <v>1</v>
      </c>
      <c r="Q9" s="165"/>
      <c r="R9" s="165">
        <v>1</v>
      </c>
      <c r="S9" s="178"/>
      <c r="T9" s="165">
        <v>1</v>
      </c>
      <c r="U9" s="165"/>
      <c r="V9" s="165"/>
      <c r="W9" s="165"/>
      <c r="X9" s="165"/>
      <c r="Y9" s="165"/>
      <c r="Z9" s="165"/>
      <c r="AA9" s="165"/>
      <c r="AC9" s="166" t="s">
        <v>259</v>
      </c>
      <c r="AD9" s="165"/>
      <c r="AE9" s="165"/>
      <c r="AF9" s="165"/>
      <c r="AG9" s="165">
        <v>150</v>
      </c>
      <c r="AH9" s="165"/>
      <c r="AI9" s="165">
        <v>191</v>
      </c>
      <c r="AJ9" s="170"/>
      <c r="AK9" s="165">
        <v>182</v>
      </c>
      <c r="AL9" s="165"/>
      <c r="AM9" s="165"/>
      <c r="AN9" s="165"/>
      <c r="AO9" s="165"/>
      <c r="AP9" s="165"/>
      <c r="AQ9" s="165"/>
      <c r="AR9" s="165"/>
      <c r="AT9" s="166" t="s">
        <v>259</v>
      </c>
      <c r="AU9" s="165"/>
      <c r="AV9" s="165"/>
      <c r="AW9" s="165"/>
      <c r="AX9" s="165">
        <v>0</v>
      </c>
      <c r="AY9" s="165"/>
      <c r="AZ9" s="165">
        <v>0</v>
      </c>
      <c r="BA9" s="180"/>
      <c r="BB9" s="165">
        <v>0</v>
      </c>
      <c r="BC9" s="165"/>
      <c r="BD9" s="165"/>
      <c r="BE9" s="165"/>
      <c r="BF9" s="165"/>
      <c r="BG9" s="165"/>
      <c r="BH9" s="165"/>
      <c r="BI9" s="165"/>
      <c r="BP9" s="166" t="s">
        <v>259</v>
      </c>
      <c r="BQ9" s="165"/>
      <c r="BR9" s="165"/>
      <c r="BS9" s="165"/>
      <c r="BT9" s="165">
        <v>1</v>
      </c>
      <c r="BU9" s="165"/>
      <c r="BV9" s="165">
        <v>0</v>
      </c>
      <c r="BW9" s="175"/>
      <c r="BX9" s="165">
        <v>1</v>
      </c>
      <c r="BY9" s="165"/>
      <c r="BZ9" s="165"/>
      <c r="CA9" s="165"/>
      <c r="CB9" s="165"/>
      <c r="CC9" s="165"/>
      <c r="CD9" s="165"/>
      <c r="CE9" s="165"/>
      <c r="CL9" s="166" t="s">
        <v>259</v>
      </c>
      <c r="CM9" s="165"/>
      <c r="CN9" s="165"/>
      <c r="CO9" s="165"/>
      <c r="CP9" s="165">
        <v>1</v>
      </c>
      <c r="CQ9" s="165"/>
      <c r="CR9" s="165">
        <v>0</v>
      </c>
      <c r="CS9" s="173"/>
      <c r="CT9" s="165">
        <v>1</v>
      </c>
      <c r="CU9" s="165"/>
      <c r="CV9" s="165"/>
      <c r="CW9" s="165"/>
      <c r="CX9" s="165"/>
      <c r="CY9" s="165"/>
      <c r="CZ9" s="165"/>
      <c r="DA9" s="165"/>
      <c r="DD9" s="166" t="s">
        <v>259</v>
      </c>
      <c r="DE9" s="165"/>
      <c r="DF9" s="165"/>
      <c r="DG9" s="165"/>
      <c r="DH9" s="165">
        <v>1</v>
      </c>
      <c r="DI9" s="165"/>
      <c r="DJ9" s="165">
        <v>1</v>
      </c>
      <c r="DK9" s="172"/>
      <c r="DL9" s="165">
        <v>0</v>
      </c>
      <c r="DM9" s="165"/>
      <c r="DN9" s="165"/>
      <c r="DO9" s="165"/>
      <c r="DP9" s="165"/>
      <c r="DQ9" s="165"/>
      <c r="DR9" s="165"/>
      <c r="DS9" s="165"/>
      <c r="DU9" s="166" t="s">
        <v>259</v>
      </c>
      <c r="DV9" s="165">
        <v>0</v>
      </c>
      <c r="DW9" s="165">
        <v>0</v>
      </c>
      <c r="DX9" s="165">
        <v>0</v>
      </c>
      <c r="DY9" s="165">
        <v>1.6</v>
      </c>
      <c r="DZ9" s="165">
        <v>0</v>
      </c>
      <c r="EA9" s="165">
        <v>0</v>
      </c>
      <c r="EB9" s="177">
        <v>0</v>
      </c>
      <c r="EC9" s="165">
        <v>1.6</v>
      </c>
      <c r="ED9" s="165">
        <v>0</v>
      </c>
      <c r="EE9" s="165">
        <v>0</v>
      </c>
      <c r="EF9" s="165">
        <v>0</v>
      </c>
      <c r="EG9" s="165">
        <v>0</v>
      </c>
      <c r="EH9" s="165">
        <v>0</v>
      </c>
      <c r="EI9" s="165">
        <v>0</v>
      </c>
      <c r="EJ9" s="165">
        <v>0</v>
      </c>
      <c r="ET9" s="166" t="s">
        <v>259</v>
      </c>
      <c r="EU9" s="165">
        <v>0</v>
      </c>
      <c r="EV9" s="165">
        <v>0</v>
      </c>
      <c r="EW9" s="165">
        <v>0</v>
      </c>
      <c r="EX9" s="165">
        <v>240</v>
      </c>
      <c r="EY9" s="165">
        <v>0</v>
      </c>
      <c r="EZ9" s="165">
        <v>0</v>
      </c>
      <c r="FA9" s="177">
        <v>0</v>
      </c>
      <c r="FB9" s="165">
        <v>291.2</v>
      </c>
      <c r="FC9" s="165">
        <v>0</v>
      </c>
      <c r="FD9" s="165">
        <v>0</v>
      </c>
      <c r="FE9" s="165">
        <v>0</v>
      </c>
      <c r="FF9" s="165">
        <v>0</v>
      </c>
      <c r="FG9" s="165">
        <v>0</v>
      </c>
      <c r="FH9" s="165">
        <v>0</v>
      </c>
      <c r="FI9" s="165">
        <v>0</v>
      </c>
      <c r="FK9" s="166" t="s">
        <v>259</v>
      </c>
      <c r="FL9" s="165">
        <v>0</v>
      </c>
      <c r="FM9" s="165">
        <v>0</v>
      </c>
      <c r="FN9" s="165">
        <v>0</v>
      </c>
      <c r="FO9" s="165">
        <v>150</v>
      </c>
      <c r="FP9" s="165">
        <v>0</v>
      </c>
      <c r="FQ9" s="165">
        <v>0</v>
      </c>
      <c r="FR9" s="173">
        <v>0</v>
      </c>
      <c r="FS9" s="165">
        <v>182</v>
      </c>
      <c r="FT9" s="165">
        <v>0</v>
      </c>
      <c r="FU9" s="165">
        <v>0</v>
      </c>
      <c r="FV9" s="165">
        <v>0</v>
      </c>
      <c r="FW9" s="165">
        <v>0</v>
      </c>
      <c r="FX9" s="165">
        <v>0</v>
      </c>
      <c r="FY9" s="165">
        <v>0</v>
      </c>
      <c r="FZ9" s="165">
        <v>0</v>
      </c>
      <c r="GC9" s="166" t="s">
        <v>259</v>
      </c>
      <c r="GD9" s="165">
        <v>0</v>
      </c>
      <c r="GE9" s="165">
        <v>0</v>
      </c>
      <c r="GF9" s="165">
        <v>0</v>
      </c>
      <c r="GG9" s="165">
        <v>150</v>
      </c>
      <c r="GH9" s="165">
        <v>0</v>
      </c>
      <c r="GI9" s="165">
        <v>191</v>
      </c>
      <c r="GJ9" s="172">
        <v>0</v>
      </c>
      <c r="GK9" s="165">
        <v>0</v>
      </c>
      <c r="GL9" s="165">
        <v>0</v>
      </c>
      <c r="GM9" s="165">
        <v>0</v>
      </c>
      <c r="GN9" s="165">
        <v>0</v>
      </c>
      <c r="GO9" s="165">
        <v>0</v>
      </c>
      <c r="GP9" s="165">
        <v>0</v>
      </c>
      <c r="GQ9" s="165">
        <v>0</v>
      </c>
      <c r="GR9" s="165">
        <v>0</v>
      </c>
      <c r="GT9" s="166" t="s">
        <v>259</v>
      </c>
      <c r="GU9" s="165">
        <f>240+291.2</f>
        <v>531.20000000000005</v>
      </c>
      <c r="GV9" s="165">
        <f>150+182</f>
        <v>332</v>
      </c>
      <c r="GW9" s="165">
        <f>150+191</f>
        <v>341</v>
      </c>
      <c r="GX9" s="185">
        <f t="shared" si="2"/>
        <v>9.8604098604098619E-2</v>
      </c>
      <c r="GY9" s="185">
        <f t="shared" si="3"/>
        <v>0.14347450302506481</v>
      </c>
      <c r="GZ9" s="185">
        <f t="shared" si="4"/>
        <v>0.2607033639143731</v>
      </c>
      <c r="HA9" s="165">
        <f t="shared" si="5"/>
        <v>2.4631303831303835</v>
      </c>
      <c r="HB9" s="165">
        <f t="shared" si="6"/>
        <v>1.7116508210890231</v>
      </c>
      <c r="HC9" s="165">
        <f t="shared" si="0"/>
        <v>2.8520948012232417</v>
      </c>
      <c r="HD9" s="165">
        <v>0</v>
      </c>
      <c r="HE9" s="165">
        <v>0</v>
      </c>
      <c r="HF9" s="165">
        <v>0</v>
      </c>
      <c r="HG9" s="267">
        <f t="shared" si="7"/>
        <v>7.0268760054426487</v>
      </c>
      <c r="HH9" s="165">
        <f t="shared" si="1"/>
        <v>2.4631303831303835</v>
      </c>
      <c r="HI9" s="165">
        <f t="shared" si="8"/>
        <v>0</v>
      </c>
      <c r="HJ9" s="165">
        <f t="shared" si="9"/>
        <v>0</v>
      </c>
      <c r="HK9" s="165">
        <v>0</v>
      </c>
      <c r="HL9" s="165">
        <v>0</v>
      </c>
      <c r="HM9" s="165">
        <v>0</v>
      </c>
      <c r="HN9" s="271">
        <f t="shared" si="10"/>
        <v>2.4631303831303835</v>
      </c>
    </row>
    <row r="10" spans="1:222" ht="27.6" customHeight="1" x14ac:dyDescent="0.3">
      <c r="L10" s="166" t="s">
        <v>260</v>
      </c>
      <c r="M10" s="165"/>
      <c r="N10" s="165"/>
      <c r="O10" s="165"/>
      <c r="P10" s="165"/>
      <c r="Q10" s="165"/>
      <c r="R10" s="165"/>
      <c r="S10" s="165">
        <v>1</v>
      </c>
      <c r="T10" s="178"/>
      <c r="U10" s="165">
        <v>1</v>
      </c>
      <c r="V10" s="165"/>
      <c r="W10" s="165"/>
      <c r="X10" s="165"/>
      <c r="Y10" s="165"/>
      <c r="Z10" s="165">
        <v>1</v>
      </c>
      <c r="AA10" s="165"/>
      <c r="AC10" s="166" t="s">
        <v>260</v>
      </c>
      <c r="AD10" s="165"/>
      <c r="AE10" s="165"/>
      <c r="AF10" s="165"/>
      <c r="AG10" s="165"/>
      <c r="AH10" s="165"/>
      <c r="AI10" s="165"/>
      <c r="AJ10" s="165">
        <v>182</v>
      </c>
      <c r="AK10" s="170"/>
      <c r="AL10" s="165">
        <v>120</v>
      </c>
      <c r="AM10" s="165"/>
      <c r="AN10" s="165"/>
      <c r="AO10" s="165"/>
      <c r="AP10" s="165"/>
      <c r="AQ10" s="165">
        <v>140</v>
      </c>
      <c r="AR10" s="165"/>
      <c r="AT10" s="166" t="s">
        <v>260</v>
      </c>
      <c r="AU10" s="165"/>
      <c r="AV10" s="165"/>
      <c r="AW10" s="165"/>
      <c r="AX10" s="165"/>
      <c r="AY10" s="165"/>
      <c r="AZ10" s="165"/>
      <c r="BA10" s="165">
        <v>0</v>
      </c>
      <c r="BB10" s="180"/>
      <c r="BC10" s="165">
        <v>0</v>
      </c>
      <c r="BD10" s="165"/>
      <c r="BE10" s="165"/>
      <c r="BF10" s="165"/>
      <c r="BG10" s="165"/>
      <c r="BH10" s="165">
        <v>0</v>
      </c>
      <c r="BI10" s="165"/>
      <c r="BP10" s="166" t="s">
        <v>260</v>
      </c>
      <c r="BQ10" s="165"/>
      <c r="BR10" s="165"/>
      <c r="BS10" s="165"/>
      <c r="BT10" s="165"/>
      <c r="BU10" s="165"/>
      <c r="BV10" s="165"/>
      <c r="BW10" s="165">
        <v>1</v>
      </c>
      <c r="BX10" s="175"/>
      <c r="BY10" s="165">
        <v>1</v>
      </c>
      <c r="BZ10" s="165"/>
      <c r="CA10" s="165"/>
      <c r="CB10" s="165"/>
      <c r="CC10" s="165"/>
      <c r="CD10" s="165">
        <v>2</v>
      </c>
      <c r="CE10" s="165"/>
      <c r="CL10" s="166" t="s">
        <v>260</v>
      </c>
      <c r="CM10" s="165"/>
      <c r="CN10" s="165"/>
      <c r="CO10" s="165"/>
      <c r="CP10" s="165"/>
      <c r="CQ10" s="165"/>
      <c r="CR10" s="165"/>
      <c r="CS10" s="165">
        <v>1</v>
      </c>
      <c r="CT10" s="173"/>
      <c r="CU10" s="165">
        <v>1</v>
      </c>
      <c r="CV10" s="165"/>
      <c r="CW10" s="165"/>
      <c r="CX10" s="165"/>
      <c r="CY10" s="165"/>
      <c r="CZ10" s="165">
        <v>2</v>
      </c>
      <c r="DA10" s="165"/>
      <c r="DD10" s="166" t="s">
        <v>260</v>
      </c>
      <c r="DE10" s="165"/>
      <c r="DF10" s="165"/>
      <c r="DG10" s="165"/>
      <c r="DH10" s="165"/>
      <c r="DI10" s="165"/>
      <c r="DJ10" s="165"/>
      <c r="DK10" s="165">
        <v>0</v>
      </c>
      <c r="DL10" s="172"/>
      <c r="DM10" s="165">
        <v>0</v>
      </c>
      <c r="DN10" s="165"/>
      <c r="DO10" s="165"/>
      <c r="DP10" s="165"/>
      <c r="DQ10" s="165"/>
      <c r="DR10" s="165">
        <v>0</v>
      </c>
      <c r="DS10" s="165"/>
      <c r="DU10" s="166" t="s">
        <v>260</v>
      </c>
      <c r="DV10" s="165">
        <v>0</v>
      </c>
      <c r="DW10" s="165">
        <v>0</v>
      </c>
      <c r="DX10" s="165">
        <v>0</v>
      </c>
      <c r="DY10" s="165">
        <v>0</v>
      </c>
      <c r="DZ10" s="165">
        <v>0</v>
      </c>
      <c r="EA10" s="165">
        <v>0</v>
      </c>
      <c r="EB10" s="165">
        <v>1.6</v>
      </c>
      <c r="EC10" s="177">
        <v>0</v>
      </c>
      <c r="ED10" s="165">
        <v>1.6</v>
      </c>
      <c r="EE10" s="165">
        <v>0</v>
      </c>
      <c r="EF10" s="165">
        <v>0</v>
      </c>
      <c r="EG10" s="165">
        <v>0</v>
      </c>
      <c r="EH10" s="165">
        <v>0</v>
      </c>
      <c r="EI10" s="165">
        <v>3.2</v>
      </c>
      <c r="EJ10" s="165">
        <v>0</v>
      </c>
      <c r="ET10" s="166" t="s">
        <v>260</v>
      </c>
      <c r="EU10" s="165">
        <v>0</v>
      </c>
      <c r="EV10" s="165">
        <v>0</v>
      </c>
      <c r="EW10" s="165">
        <v>0</v>
      </c>
      <c r="EX10" s="165">
        <v>0</v>
      </c>
      <c r="EY10" s="165">
        <v>0</v>
      </c>
      <c r="EZ10" s="165">
        <v>0</v>
      </c>
      <c r="FA10" s="165">
        <v>291.2</v>
      </c>
      <c r="FB10" s="177">
        <v>0</v>
      </c>
      <c r="FC10" s="165">
        <v>192</v>
      </c>
      <c r="FD10" s="165">
        <v>0</v>
      </c>
      <c r="FE10" s="165">
        <v>0</v>
      </c>
      <c r="FF10" s="165">
        <v>0</v>
      </c>
      <c r="FG10" s="165">
        <v>0</v>
      </c>
      <c r="FH10" s="165">
        <v>448</v>
      </c>
      <c r="FI10" s="165">
        <v>0</v>
      </c>
      <c r="FK10" s="166" t="s">
        <v>260</v>
      </c>
      <c r="FL10" s="165">
        <v>0</v>
      </c>
      <c r="FM10" s="165">
        <v>0</v>
      </c>
      <c r="FN10" s="165">
        <v>0</v>
      </c>
      <c r="FO10" s="165">
        <v>0</v>
      </c>
      <c r="FP10" s="165">
        <v>0</v>
      </c>
      <c r="FQ10" s="165">
        <v>0</v>
      </c>
      <c r="FR10" s="165">
        <v>182</v>
      </c>
      <c r="FS10" s="173">
        <v>0</v>
      </c>
      <c r="FT10" s="165">
        <v>120</v>
      </c>
      <c r="FU10" s="165">
        <v>0</v>
      </c>
      <c r="FV10" s="165">
        <v>0</v>
      </c>
      <c r="FW10" s="165">
        <v>0</v>
      </c>
      <c r="FX10" s="165">
        <v>0</v>
      </c>
      <c r="FY10" s="165">
        <v>280</v>
      </c>
      <c r="FZ10" s="165">
        <v>0</v>
      </c>
      <c r="GC10" s="166" t="s">
        <v>260</v>
      </c>
      <c r="GD10" s="165">
        <v>0</v>
      </c>
      <c r="GE10" s="165">
        <v>0</v>
      </c>
      <c r="GF10" s="165">
        <v>0</v>
      </c>
      <c r="GG10" s="165">
        <v>0</v>
      </c>
      <c r="GH10" s="165">
        <v>0</v>
      </c>
      <c r="GI10" s="165">
        <v>0</v>
      </c>
      <c r="GJ10" s="165">
        <v>0</v>
      </c>
      <c r="GK10" s="172">
        <v>0</v>
      </c>
      <c r="GL10" s="165">
        <v>0</v>
      </c>
      <c r="GM10" s="165">
        <v>0</v>
      </c>
      <c r="GN10" s="165">
        <v>0</v>
      </c>
      <c r="GO10" s="165">
        <v>0</v>
      </c>
      <c r="GP10" s="165">
        <v>0</v>
      </c>
      <c r="GQ10" s="165">
        <v>0</v>
      </c>
      <c r="GR10" s="165">
        <v>0</v>
      </c>
      <c r="GT10" s="166" t="s">
        <v>260</v>
      </c>
      <c r="GU10" s="165">
        <f>291.2+448+192</f>
        <v>931.2</v>
      </c>
      <c r="GV10" s="165">
        <f>182+120+280</f>
        <v>582</v>
      </c>
      <c r="GW10" s="165">
        <f>0</f>
        <v>0</v>
      </c>
      <c r="GX10" s="185">
        <f t="shared" si="2"/>
        <v>0.17285417285417287</v>
      </c>
      <c r="GY10" s="185">
        <f t="shared" si="3"/>
        <v>0.25151253241140881</v>
      </c>
      <c r="GZ10" s="185">
        <f t="shared" si="4"/>
        <v>0</v>
      </c>
      <c r="HA10" s="165">
        <f t="shared" si="5"/>
        <v>4.3178972378972382</v>
      </c>
      <c r="HB10" s="165">
        <f t="shared" si="6"/>
        <v>3.0005445116681071</v>
      </c>
      <c r="HC10" s="165">
        <f t="shared" si="0"/>
        <v>0</v>
      </c>
      <c r="HD10" s="165">
        <v>0</v>
      </c>
      <c r="HE10" s="165">
        <v>0</v>
      </c>
      <c r="HF10" s="165">
        <v>0</v>
      </c>
      <c r="HG10" s="267">
        <f t="shared" si="7"/>
        <v>7.3184417495653449</v>
      </c>
      <c r="HH10" s="165">
        <f t="shared" si="1"/>
        <v>4.3178972378972382</v>
      </c>
      <c r="HI10" s="165">
        <f t="shared" si="8"/>
        <v>0</v>
      </c>
      <c r="HJ10" s="165">
        <f t="shared" si="9"/>
        <v>0</v>
      </c>
      <c r="HK10" s="165">
        <v>0</v>
      </c>
      <c r="HL10" s="165">
        <v>0</v>
      </c>
      <c r="HM10" s="165">
        <v>0</v>
      </c>
      <c r="HN10" s="271">
        <f t="shared" si="10"/>
        <v>4.3178972378972382</v>
      </c>
    </row>
    <row r="11" spans="1:222" ht="34.799999999999997" customHeight="1" x14ac:dyDescent="0.65">
      <c r="A11" s="263" t="s">
        <v>348</v>
      </c>
      <c r="L11" s="166" t="s">
        <v>261</v>
      </c>
      <c r="M11" s="165"/>
      <c r="N11" s="165"/>
      <c r="O11" s="165"/>
      <c r="P11" s="165"/>
      <c r="Q11" s="165"/>
      <c r="R11" s="165"/>
      <c r="S11" s="165"/>
      <c r="T11" s="165">
        <v>1</v>
      </c>
      <c r="U11" s="178"/>
      <c r="V11" s="165">
        <v>1</v>
      </c>
      <c r="W11" s="165"/>
      <c r="X11" s="165"/>
      <c r="Y11" s="165"/>
      <c r="Z11" s="165"/>
      <c r="AA11" s="165"/>
      <c r="AC11" s="166" t="s">
        <v>261</v>
      </c>
      <c r="AD11" s="165"/>
      <c r="AE11" s="165"/>
      <c r="AF11" s="165"/>
      <c r="AG11" s="165"/>
      <c r="AH11" s="165"/>
      <c r="AI11" s="165"/>
      <c r="AJ11" s="165"/>
      <c r="AK11" s="165">
        <v>120</v>
      </c>
      <c r="AL11" s="170"/>
      <c r="AM11" s="165">
        <v>89</v>
      </c>
      <c r="AN11" s="165"/>
      <c r="AO11" s="165"/>
      <c r="AP11" s="165"/>
      <c r="AQ11" s="165"/>
      <c r="AR11" s="165"/>
      <c r="AT11" s="166" t="s">
        <v>261</v>
      </c>
      <c r="AU11" s="165"/>
      <c r="AV11" s="165"/>
      <c r="AW11" s="165"/>
      <c r="AX11" s="165"/>
      <c r="AY11" s="165"/>
      <c r="AZ11" s="165"/>
      <c r="BA11" s="165"/>
      <c r="BB11" s="165">
        <v>0</v>
      </c>
      <c r="BC11" s="180"/>
      <c r="BD11" s="165">
        <v>0</v>
      </c>
      <c r="BE11" s="165"/>
      <c r="BF11" s="165"/>
      <c r="BG11" s="165"/>
      <c r="BH11" s="165"/>
      <c r="BI11" s="165"/>
      <c r="BP11" s="166" t="s">
        <v>261</v>
      </c>
      <c r="BQ11" s="165"/>
      <c r="BR11" s="165"/>
      <c r="BS11" s="165"/>
      <c r="BT11" s="165"/>
      <c r="BU11" s="165"/>
      <c r="BV11" s="165"/>
      <c r="BW11" s="165"/>
      <c r="BX11" s="165">
        <v>1</v>
      </c>
      <c r="BY11" s="175"/>
      <c r="BZ11" s="165">
        <v>1</v>
      </c>
      <c r="CA11" s="165"/>
      <c r="CB11" s="165"/>
      <c r="CC11" s="165"/>
      <c r="CD11" s="165"/>
      <c r="CE11" s="165"/>
      <c r="CL11" s="166" t="s">
        <v>261</v>
      </c>
      <c r="CM11" s="165"/>
      <c r="CN11" s="165"/>
      <c r="CO11" s="165"/>
      <c r="CP11" s="165"/>
      <c r="CQ11" s="165"/>
      <c r="CR11" s="165"/>
      <c r="CS11" s="165"/>
      <c r="CT11" s="165">
        <v>1</v>
      </c>
      <c r="CU11" s="173"/>
      <c r="CV11" s="165">
        <v>1</v>
      </c>
      <c r="CW11" s="165"/>
      <c r="CX11" s="165"/>
      <c r="CY11" s="165"/>
      <c r="CZ11" s="165"/>
      <c r="DA11" s="165"/>
      <c r="DD11" s="166" t="s">
        <v>261</v>
      </c>
      <c r="DE11" s="165"/>
      <c r="DF11" s="165"/>
      <c r="DG11" s="165"/>
      <c r="DH11" s="165"/>
      <c r="DI11" s="165"/>
      <c r="DJ11" s="165"/>
      <c r="DK11" s="165"/>
      <c r="DL11" s="165">
        <v>0</v>
      </c>
      <c r="DM11" s="172"/>
      <c r="DN11" s="165">
        <v>0</v>
      </c>
      <c r="DO11" s="165"/>
      <c r="DP11" s="165"/>
      <c r="DQ11" s="165"/>
      <c r="DR11" s="165"/>
      <c r="DS11" s="165"/>
      <c r="DU11" s="166" t="s">
        <v>261</v>
      </c>
      <c r="DV11" s="165">
        <v>0</v>
      </c>
      <c r="DW11" s="165">
        <v>0</v>
      </c>
      <c r="DX11" s="165">
        <v>0</v>
      </c>
      <c r="DY11" s="165">
        <v>0</v>
      </c>
      <c r="DZ11" s="165">
        <v>0</v>
      </c>
      <c r="EA11" s="165">
        <v>0</v>
      </c>
      <c r="EB11" s="165">
        <v>0</v>
      </c>
      <c r="EC11" s="165">
        <v>1.6</v>
      </c>
      <c r="ED11" s="177">
        <v>0</v>
      </c>
      <c r="EE11" s="165">
        <v>1.6</v>
      </c>
      <c r="EF11" s="165">
        <v>0</v>
      </c>
      <c r="EG11" s="165">
        <v>0</v>
      </c>
      <c r="EH11" s="165">
        <v>0</v>
      </c>
      <c r="EI11" s="165">
        <v>0</v>
      </c>
      <c r="EJ11" s="165">
        <v>0</v>
      </c>
      <c r="ET11" s="166" t="s">
        <v>261</v>
      </c>
      <c r="EU11" s="165">
        <v>0</v>
      </c>
      <c r="EV11" s="165">
        <v>0</v>
      </c>
      <c r="EW11" s="165">
        <v>0</v>
      </c>
      <c r="EX11" s="165">
        <v>0</v>
      </c>
      <c r="EY11" s="165">
        <v>0</v>
      </c>
      <c r="EZ11" s="165">
        <v>0</v>
      </c>
      <c r="FA11" s="165">
        <v>0</v>
      </c>
      <c r="FB11" s="165">
        <v>192</v>
      </c>
      <c r="FC11" s="177">
        <v>0</v>
      </c>
      <c r="FD11" s="165">
        <v>142.4</v>
      </c>
      <c r="FE11" s="165">
        <v>0</v>
      </c>
      <c r="FF11" s="165">
        <v>0</v>
      </c>
      <c r="FG11" s="165">
        <v>0</v>
      </c>
      <c r="FH11" s="165">
        <v>0</v>
      </c>
      <c r="FI11" s="165">
        <v>0</v>
      </c>
      <c r="FK11" s="166" t="s">
        <v>261</v>
      </c>
      <c r="FL11" s="165">
        <v>0</v>
      </c>
      <c r="FM11" s="165">
        <v>0</v>
      </c>
      <c r="FN11" s="165">
        <v>0</v>
      </c>
      <c r="FO11" s="165">
        <v>0</v>
      </c>
      <c r="FP11" s="165">
        <v>0</v>
      </c>
      <c r="FQ11" s="165">
        <v>0</v>
      </c>
      <c r="FR11" s="165">
        <v>0</v>
      </c>
      <c r="FS11" s="165">
        <v>120</v>
      </c>
      <c r="FT11" s="173">
        <v>0</v>
      </c>
      <c r="FU11" s="165">
        <v>89</v>
      </c>
      <c r="FV11" s="165">
        <v>0</v>
      </c>
      <c r="FW11" s="165">
        <v>0</v>
      </c>
      <c r="FX11" s="165">
        <v>0</v>
      </c>
      <c r="FY11" s="165">
        <v>0</v>
      </c>
      <c r="FZ11" s="165">
        <v>0</v>
      </c>
      <c r="GC11" s="166" t="s">
        <v>261</v>
      </c>
      <c r="GD11" s="165">
        <v>0</v>
      </c>
      <c r="GE11" s="165">
        <v>0</v>
      </c>
      <c r="GF11" s="165">
        <v>0</v>
      </c>
      <c r="GG11" s="165">
        <v>0</v>
      </c>
      <c r="GH11" s="165">
        <v>0</v>
      </c>
      <c r="GI11" s="165">
        <v>0</v>
      </c>
      <c r="GJ11" s="165">
        <v>0</v>
      </c>
      <c r="GK11" s="165">
        <v>0</v>
      </c>
      <c r="GL11" s="172">
        <v>0</v>
      </c>
      <c r="GM11" s="165">
        <v>0</v>
      </c>
      <c r="GN11" s="165">
        <v>0</v>
      </c>
      <c r="GO11" s="165">
        <v>0</v>
      </c>
      <c r="GP11" s="165">
        <v>0</v>
      </c>
      <c r="GQ11" s="165">
        <v>0</v>
      </c>
      <c r="GR11" s="165">
        <v>0</v>
      </c>
      <c r="GT11" s="166" t="s">
        <v>261</v>
      </c>
      <c r="GU11" s="165">
        <f>192+142.4</f>
        <v>334.4</v>
      </c>
      <c r="GV11" s="165">
        <f>120+89</f>
        <v>209</v>
      </c>
      <c r="GW11" s="165">
        <v>0</v>
      </c>
      <c r="GX11" s="185">
        <f t="shared" si="2"/>
        <v>6.2073062073062069E-2</v>
      </c>
      <c r="GY11" s="185">
        <f t="shared" si="3"/>
        <v>9.0319792566983581E-2</v>
      </c>
      <c r="GZ11" s="185">
        <f t="shared" si="4"/>
        <v>0</v>
      </c>
      <c r="HA11" s="165">
        <f t="shared" si="5"/>
        <v>1.5505850905850904</v>
      </c>
      <c r="HB11" s="165">
        <f t="shared" si="6"/>
        <v>1.0775151253241142</v>
      </c>
      <c r="HC11" s="165">
        <f t="shared" si="0"/>
        <v>0</v>
      </c>
      <c r="HD11" s="165">
        <v>0</v>
      </c>
      <c r="HE11" s="165">
        <v>0</v>
      </c>
      <c r="HF11" s="165">
        <v>0</v>
      </c>
      <c r="HG11" s="267">
        <f t="shared" si="7"/>
        <v>2.6281002159092046</v>
      </c>
      <c r="HH11" s="165">
        <f t="shared" si="1"/>
        <v>1.5505850905850904</v>
      </c>
      <c r="HI11" s="165">
        <f t="shared" si="8"/>
        <v>0</v>
      </c>
      <c r="HJ11" s="165">
        <f t="shared" si="9"/>
        <v>0</v>
      </c>
      <c r="HK11" s="165">
        <v>0</v>
      </c>
      <c r="HL11" s="165">
        <v>0</v>
      </c>
      <c r="HM11" s="165">
        <v>0</v>
      </c>
      <c r="HN11" s="271">
        <f t="shared" si="10"/>
        <v>1.5505850905850904</v>
      </c>
    </row>
    <row r="12" spans="1:222" ht="21" customHeight="1" x14ac:dyDescent="0.3">
      <c r="L12" s="166" t="s">
        <v>262</v>
      </c>
      <c r="M12" s="165"/>
      <c r="N12" s="165"/>
      <c r="O12" s="165"/>
      <c r="P12" s="165"/>
      <c r="Q12" s="165"/>
      <c r="R12" s="165"/>
      <c r="S12" s="165"/>
      <c r="T12" s="165"/>
      <c r="U12" s="165">
        <v>1</v>
      </c>
      <c r="V12" s="178"/>
      <c r="W12" s="165">
        <v>1</v>
      </c>
      <c r="X12" s="165"/>
      <c r="Y12" s="165"/>
      <c r="Z12" s="165">
        <v>1</v>
      </c>
      <c r="AA12" s="165"/>
      <c r="AC12" s="166" t="s">
        <v>262</v>
      </c>
      <c r="AD12" s="165"/>
      <c r="AE12" s="165"/>
      <c r="AF12" s="165"/>
      <c r="AG12" s="165"/>
      <c r="AH12" s="165"/>
      <c r="AI12" s="165"/>
      <c r="AJ12" s="165"/>
      <c r="AK12" s="165"/>
      <c r="AL12" s="165">
        <v>89</v>
      </c>
      <c r="AM12" s="170"/>
      <c r="AN12" s="165">
        <v>50</v>
      </c>
      <c r="AO12" s="165"/>
      <c r="AP12" s="165"/>
      <c r="AQ12" s="165">
        <v>74</v>
      </c>
      <c r="AR12" s="165"/>
      <c r="AT12" s="166" t="s">
        <v>262</v>
      </c>
      <c r="AU12" s="165"/>
      <c r="AV12" s="165"/>
      <c r="AW12" s="165"/>
      <c r="AX12" s="165"/>
      <c r="AY12" s="165"/>
      <c r="AZ12" s="165"/>
      <c r="BA12" s="165"/>
      <c r="BB12" s="165"/>
      <c r="BC12" s="165">
        <v>0</v>
      </c>
      <c r="BD12" s="180"/>
      <c r="BE12" s="165">
        <v>1</v>
      </c>
      <c r="BF12" s="165"/>
      <c r="BG12" s="165"/>
      <c r="BH12" s="165">
        <v>1</v>
      </c>
      <c r="BI12" s="165"/>
      <c r="BP12" s="166" t="s">
        <v>262</v>
      </c>
      <c r="BQ12" s="165"/>
      <c r="BR12" s="165"/>
      <c r="BS12" s="165"/>
      <c r="BT12" s="165"/>
      <c r="BU12" s="165"/>
      <c r="BV12" s="165"/>
      <c r="BW12" s="165"/>
      <c r="BX12" s="165"/>
      <c r="BY12" s="165">
        <v>1</v>
      </c>
      <c r="BZ12" s="175"/>
      <c r="CA12" s="165">
        <v>0</v>
      </c>
      <c r="CB12" s="165"/>
      <c r="CC12" s="165"/>
      <c r="CD12" s="165">
        <v>1</v>
      </c>
      <c r="CE12" s="165"/>
      <c r="CL12" s="166" t="s">
        <v>262</v>
      </c>
      <c r="CM12" s="165"/>
      <c r="CN12" s="165"/>
      <c r="CO12" s="165"/>
      <c r="CP12" s="165"/>
      <c r="CQ12" s="165"/>
      <c r="CR12" s="165"/>
      <c r="CS12" s="165"/>
      <c r="CT12" s="165"/>
      <c r="CU12" s="165">
        <v>1</v>
      </c>
      <c r="CV12" s="173"/>
      <c r="CW12" s="165">
        <v>0</v>
      </c>
      <c r="CX12" s="165"/>
      <c r="CY12" s="165"/>
      <c r="CZ12" s="165">
        <v>1</v>
      </c>
      <c r="DA12" s="165"/>
      <c r="DD12" s="166" t="s">
        <v>262</v>
      </c>
      <c r="DE12" s="165"/>
      <c r="DF12" s="165"/>
      <c r="DG12" s="165"/>
      <c r="DH12" s="165"/>
      <c r="DI12" s="165"/>
      <c r="DJ12" s="165"/>
      <c r="DK12" s="165"/>
      <c r="DL12" s="165"/>
      <c r="DM12" s="165">
        <v>0</v>
      </c>
      <c r="DN12" s="172"/>
      <c r="DO12" s="165">
        <v>0</v>
      </c>
      <c r="DP12" s="165"/>
      <c r="DQ12" s="165"/>
      <c r="DR12" s="165">
        <v>0</v>
      </c>
      <c r="DS12" s="165"/>
      <c r="DU12" s="166" t="s">
        <v>262</v>
      </c>
      <c r="DV12" s="165">
        <v>0</v>
      </c>
      <c r="DW12" s="165">
        <v>0</v>
      </c>
      <c r="DX12" s="165">
        <v>0</v>
      </c>
      <c r="DY12" s="165">
        <v>0</v>
      </c>
      <c r="DZ12" s="165">
        <v>0</v>
      </c>
      <c r="EA12" s="165">
        <v>0</v>
      </c>
      <c r="EB12" s="165">
        <v>0</v>
      </c>
      <c r="EC12" s="165">
        <v>0</v>
      </c>
      <c r="ED12" s="165">
        <v>1.6</v>
      </c>
      <c r="EE12" s="177">
        <v>0</v>
      </c>
      <c r="EF12" s="165">
        <v>0.8</v>
      </c>
      <c r="EG12" s="165">
        <v>0</v>
      </c>
      <c r="EH12" s="165">
        <v>0</v>
      </c>
      <c r="EI12" s="165">
        <v>2.4000000000000004</v>
      </c>
      <c r="EJ12" s="165">
        <v>0</v>
      </c>
      <c r="ET12" s="166" t="s">
        <v>262</v>
      </c>
      <c r="EU12" s="165">
        <v>0</v>
      </c>
      <c r="EV12" s="165">
        <v>0</v>
      </c>
      <c r="EW12" s="165">
        <v>0</v>
      </c>
      <c r="EX12" s="165">
        <v>0</v>
      </c>
      <c r="EY12" s="165">
        <v>0</v>
      </c>
      <c r="EZ12" s="165">
        <v>0</v>
      </c>
      <c r="FA12" s="165">
        <v>0</v>
      </c>
      <c r="FB12" s="165">
        <v>0</v>
      </c>
      <c r="FC12" s="165">
        <v>142.4</v>
      </c>
      <c r="FD12" s="177">
        <v>0</v>
      </c>
      <c r="FE12" s="165">
        <v>40</v>
      </c>
      <c r="FF12" s="165">
        <v>0</v>
      </c>
      <c r="FG12" s="165">
        <v>0</v>
      </c>
      <c r="FH12" s="165">
        <v>177.60000000000002</v>
      </c>
      <c r="FI12" s="165">
        <v>0</v>
      </c>
      <c r="FK12" s="166" t="s">
        <v>262</v>
      </c>
      <c r="FL12" s="165">
        <v>0</v>
      </c>
      <c r="FM12" s="165">
        <v>0</v>
      </c>
      <c r="FN12" s="165">
        <v>0</v>
      </c>
      <c r="FO12" s="165">
        <v>0</v>
      </c>
      <c r="FP12" s="165">
        <v>0</v>
      </c>
      <c r="FQ12" s="165">
        <v>0</v>
      </c>
      <c r="FR12" s="165">
        <v>0</v>
      </c>
      <c r="FS12" s="165">
        <v>0</v>
      </c>
      <c r="FT12" s="165">
        <v>89</v>
      </c>
      <c r="FU12" s="173">
        <v>0</v>
      </c>
      <c r="FV12" s="165">
        <v>0</v>
      </c>
      <c r="FW12" s="165">
        <v>0</v>
      </c>
      <c r="FX12" s="165">
        <v>0</v>
      </c>
      <c r="FY12" s="165">
        <v>74</v>
      </c>
      <c r="FZ12" s="165">
        <v>0</v>
      </c>
      <c r="GC12" s="166" t="s">
        <v>262</v>
      </c>
      <c r="GD12" s="165">
        <v>0</v>
      </c>
      <c r="GE12" s="165">
        <v>0</v>
      </c>
      <c r="GF12" s="165">
        <v>0</v>
      </c>
      <c r="GG12" s="165">
        <v>0</v>
      </c>
      <c r="GH12" s="165">
        <v>0</v>
      </c>
      <c r="GI12" s="165">
        <v>0</v>
      </c>
      <c r="GJ12" s="165">
        <v>0</v>
      </c>
      <c r="GK12" s="165">
        <v>0</v>
      </c>
      <c r="GL12" s="165">
        <v>0</v>
      </c>
      <c r="GM12" s="172">
        <v>0</v>
      </c>
      <c r="GN12" s="165">
        <v>0</v>
      </c>
      <c r="GO12" s="165">
        <v>0</v>
      </c>
      <c r="GP12" s="165">
        <v>0</v>
      </c>
      <c r="GQ12" s="165">
        <v>0</v>
      </c>
      <c r="GR12" s="165">
        <v>0</v>
      </c>
      <c r="GT12" s="166" t="s">
        <v>262</v>
      </c>
      <c r="GU12" s="165">
        <f>142.4+40+177.6</f>
        <v>360</v>
      </c>
      <c r="GV12" s="165">
        <f>89+74</f>
        <v>163</v>
      </c>
      <c r="GW12" s="165">
        <v>0</v>
      </c>
      <c r="GX12" s="185">
        <f t="shared" si="2"/>
        <v>6.6825066825066823E-2</v>
      </c>
      <c r="GY12" s="185">
        <f t="shared" si="3"/>
        <v>7.0440795159896277E-2</v>
      </c>
      <c r="GZ12" s="185">
        <f t="shared" si="4"/>
        <v>0</v>
      </c>
      <c r="HA12" s="165">
        <f t="shared" si="5"/>
        <v>1.6692901692901692</v>
      </c>
      <c r="HB12" s="165">
        <f t="shared" si="6"/>
        <v>0.8403586862575626</v>
      </c>
      <c r="HC12" s="165">
        <f t="shared" si="0"/>
        <v>0</v>
      </c>
      <c r="HD12" s="165">
        <v>0</v>
      </c>
      <c r="HE12" s="165">
        <v>0</v>
      </c>
      <c r="HF12" s="165">
        <v>0</v>
      </c>
      <c r="HG12" s="267">
        <f t="shared" si="7"/>
        <v>2.5096488555477316</v>
      </c>
      <c r="HH12" s="165">
        <f t="shared" si="1"/>
        <v>1.6692901692901692</v>
      </c>
      <c r="HI12" s="165">
        <f t="shared" si="8"/>
        <v>0</v>
      </c>
      <c r="HJ12" s="165">
        <f t="shared" si="9"/>
        <v>0</v>
      </c>
      <c r="HK12" s="165">
        <v>0</v>
      </c>
      <c r="HL12" s="165">
        <v>0</v>
      </c>
      <c r="HM12" s="165">
        <v>0</v>
      </c>
      <c r="HN12" s="271">
        <f t="shared" si="10"/>
        <v>1.6692901692901692</v>
      </c>
    </row>
    <row r="13" spans="1:222" ht="27.6" customHeight="1" x14ac:dyDescent="0.55000000000000004">
      <c r="G13" s="264" t="s">
        <v>338</v>
      </c>
      <c r="L13" s="166" t="s">
        <v>263</v>
      </c>
      <c r="M13" s="165"/>
      <c r="N13" s="165"/>
      <c r="O13" s="165"/>
      <c r="P13" s="165"/>
      <c r="Q13" s="165"/>
      <c r="R13" s="165"/>
      <c r="S13" s="165"/>
      <c r="T13" s="165"/>
      <c r="U13" s="165"/>
      <c r="V13" s="165">
        <v>1</v>
      </c>
      <c r="W13" s="178"/>
      <c r="X13" s="165">
        <v>1</v>
      </c>
      <c r="Y13" s="165"/>
      <c r="Z13" s="165"/>
      <c r="AA13" s="165"/>
      <c r="AC13" s="166" t="s">
        <v>263</v>
      </c>
      <c r="AD13" s="165"/>
      <c r="AE13" s="165"/>
      <c r="AF13" s="165"/>
      <c r="AG13" s="165"/>
      <c r="AH13" s="165"/>
      <c r="AI13" s="165"/>
      <c r="AJ13" s="165"/>
      <c r="AK13" s="165"/>
      <c r="AL13" s="165"/>
      <c r="AM13" s="165">
        <v>50</v>
      </c>
      <c r="AN13" s="170"/>
      <c r="AO13" s="165">
        <v>59</v>
      </c>
      <c r="AP13" s="165"/>
      <c r="AQ13" s="165"/>
      <c r="AR13" s="165"/>
      <c r="AT13" s="166" t="s">
        <v>263</v>
      </c>
      <c r="AU13" s="165"/>
      <c r="AV13" s="165"/>
      <c r="AW13" s="165"/>
      <c r="AX13" s="165"/>
      <c r="AY13" s="165"/>
      <c r="AZ13" s="165"/>
      <c r="BA13" s="165"/>
      <c r="BB13" s="165"/>
      <c r="BC13" s="165"/>
      <c r="BD13" s="165">
        <v>1</v>
      </c>
      <c r="BE13" s="180"/>
      <c r="BF13" s="165">
        <v>1</v>
      </c>
      <c r="BG13" s="165"/>
      <c r="BH13" s="165"/>
      <c r="BI13" s="165"/>
      <c r="BP13" s="166" t="s">
        <v>263</v>
      </c>
      <c r="BQ13" s="165"/>
      <c r="BR13" s="165"/>
      <c r="BS13" s="165"/>
      <c r="BT13" s="165"/>
      <c r="BU13" s="165"/>
      <c r="BV13" s="165"/>
      <c r="BW13" s="165"/>
      <c r="BX13" s="165"/>
      <c r="BY13" s="165"/>
      <c r="BZ13" s="165">
        <v>0</v>
      </c>
      <c r="CA13" s="175"/>
      <c r="CB13" s="165">
        <v>0</v>
      </c>
      <c r="CC13" s="165"/>
      <c r="CD13" s="165"/>
      <c r="CE13" s="165"/>
      <c r="CL13" s="166" t="s">
        <v>263</v>
      </c>
      <c r="CM13" s="165"/>
      <c r="CN13" s="165"/>
      <c r="CO13" s="165"/>
      <c r="CP13" s="165"/>
      <c r="CQ13" s="165"/>
      <c r="CR13" s="165"/>
      <c r="CS13" s="165"/>
      <c r="CT13" s="165"/>
      <c r="CU13" s="165"/>
      <c r="CV13" s="165">
        <v>0</v>
      </c>
      <c r="CW13" s="173"/>
      <c r="CX13" s="165">
        <v>0</v>
      </c>
      <c r="CY13" s="165"/>
      <c r="CZ13" s="165"/>
      <c r="DA13" s="165"/>
      <c r="DD13" s="166" t="s">
        <v>263</v>
      </c>
      <c r="DE13" s="165"/>
      <c r="DF13" s="165"/>
      <c r="DG13" s="165"/>
      <c r="DH13" s="165"/>
      <c r="DI13" s="165"/>
      <c r="DJ13" s="165"/>
      <c r="DK13" s="165"/>
      <c r="DL13" s="165"/>
      <c r="DM13" s="165"/>
      <c r="DN13" s="165">
        <v>0</v>
      </c>
      <c r="DO13" s="172"/>
      <c r="DP13" s="165">
        <v>0</v>
      </c>
      <c r="DQ13" s="165"/>
      <c r="DR13" s="165"/>
      <c r="DS13" s="165"/>
      <c r="DU13" s="166" t="s">
        <v>263</v>
      </c>
      <c r="DV13" s="165">
        <v>0</v>
      </c>
      <c r="DW13" s="165">
        <v>0</v>
      </c>
      <c r="DX13" s="165">
        <v>0</v>
      </c>
      <c r="DY13" s="165">
        <v>0</v>
      </c>
      <c r="DZ13" s="165">
        <v>0</v>
      </c>
      <c r="EA13" s="165">
        <v>0</v>
      </c>
      <c r="EB13" s="165">
        <v>0</v>
      </c>
      <c r="EC13" s="165">
        <v>0</v>
      </c>
      <c r="ED13" s="165">
        <v>0</v>
      </c>
      <c r="EE13" s="165">
        <v>0.8</v>
      </c>
      <c r="EF13" s="177">
        <v>0</v>
      </c>
      <c r="EG13" s="165">
        <v>0.8</v>
      </c>
      <c r="EH13" s="165">
        <v>0</v>
      </c>
      <c r="EI13" s="165">
        <v>0</v>
      </c>
      <c r="EJ13" s="165">
        <v>0</v>
      </c>
      <c r="ET13" s="166" t="s">
        <v>263</v>
      </c>
      <c r="EU13" s="165">
        <v>0</v>
      </c>
      <c r="EV13" s="165">
        <v>0</v>
      </c>
      <c r="EW13" s="165">
        <v>0</v>
      </c>
      <c r="EX13" s="165">
        <v>0</v>
      </c>
      <c r="EY13" s="165">
        <v>0</v>
      </c>
      <c r="EZ13" s="165">
        <v>0</v>
      </c>
      <c r="FA13" s="165">
        <v>0</v>
      </c>
      <c r="FB13" s="165">
        <v>0</v>
      </c>
      <c r="FC13" s="165">
        <v>0</v>
      </c>
      <c r="FD13" s="165">
        <v>40</v>
      </c>
      <c r="FE13" s="177">
        <v>0</v>
      </c>
      <c r="FF13" s="165">
        <v>47.2</v>
      </c>
      <c r="FG13" s="165">
        <v>0</v>
      </c>
      <c r="FH13" s="165">
        <v>0</v>
      </c>
      <c r="FI13" s="165">
        <v>0</v>
      </c>
      <c r="FK13" s="166" t="s">
        <v>263</v>
      </c>
      <c r="FL13" s="165">
        <v>0</v>
      </c>
      <c r="FM13" s="165">
        <v>0</v>
      </c>
      <c r="FN13" s="165">
        <v>0</v>
      </c>
      <c r="FO13" s="165">
        <v>0</v>
      </c>
      <c r="FP13" s="165">
        <v>0</v>
      </c>
      <c r="FQ13" s="165">
        <v>0</v>
      </c>
      <c r="FR13" s="165">
        <v>0</v>
      </c>
      <c r="FS13" s="165">
        <v>0</v>
      </c>
      <c r="FT13" s="165">
        <v>0</v>
      </c>
      <c r="FU13" s="165">
        <v>0</v>
      </c>
      <c r="FV13" s="173">
        <v>0</v>
      </c>
      <c r="FW13" s="165">
        <v>0</v>
      </c>
      <c r="FX13" s="165">
        <v>0</v>
      </c>
      <c r="FY13" s="165">
        <v>0</v>
      </c>
      <c r="FZ13" s="165">
        <v>0</v>
      </c>
      <c r="GC13" s="166" t="s">
        <v>263</v>
      </c>
      <c r="GD13" s="165">
        <v>0</v>
      </c>
      <c r="GE13" s="165">
        <v>0</v>
      </c>
      <c r="GF13" s="165">
        <v>0</v>
      </c>
      <c r="GG13" s="165">
        <v>0</v>
      </c>
      <c r="GH13" s="165">
        <v>0</v>
      </c>
      <c r="GI13" s="165">
        <v>0</v>
      </c>
      <c r="GJ13" s="165">
        <v>0</v>
      </c>
      <c r="GK13" s="165">
        <v>0</v>
      </c>
      <c r="GL13" s="165">
        <v>0</v>
      </c>
      <c r="GM13" s="165">
        <v>0</v>
      </c>
      <c r="GN13" s="172">
        <v>0</v>
      </c>
      <c r="GO13" s="165">
        <v>0</v>
      </c>
      <c r="GP13" s="165">
        <v>0</v>
      </c>
      <c r="GQ13" s="165">
        <v>0</v>
      </c>
      <c r="GR13" s="165">
        <v>0</v>
      </c>
      <c r="GT13" s="166" t="s">
        <v>263</v>
      </c>
      <c r="GU13" s="165">
        <f>40+47.2</f>
        <v>87.2</v>
      </c>
      <c r="GV13" s="165">
        <v>0</v>
      </c>
      <c r="GW13" s="165">
        <v>0</v>
      </c>
      <c r="GX13" s="185">
        <f t="shared" si="2"/>
        <v>1.6186516186516186E-2</v>
      </c>
      <c r="GY13" s="185">
        <f t="shared" si="3"/>
        <v>0</v>
      </c>
      <c r="GZ13" s="185">
        <f t="shared" si="4"/>
        <v>0</v>
      </c>
      <c r="HA13" s="165">
        <f t="shared" si="5"/>
        <v>0.40433917433917432</v>
      </c>
      <c r="HB13" s="165">
        <f t="shared" si="6"/>
        <v>0</v>
      </c>
      <c r="HC13" s="165">
        <f t="shared" si="0"/>
        <v>0</v>
      </c>
      <c r="HD13" s="165">
        <v>0</v>
      </c>
      <c r="HE13" s="165">
        <v>0</v>
      </c>
      <c r="HF13" s="165">
        <v>0</v>
      </c>
      <c r="HG13" s="267">
        <f t="shared" si="7"/>
        <v>0.40433917433917432</v>
      </c>
      <c r="HH13" s="165">
        <f t="shared" si="1"/>
        <v>0.40433917433917432</v>
      </c>
      <c r="HI13" s="165">
        <f t="shared" si="8"/>
        <v>0</v>
      </c>
      <c r="HJ13" s="165">
        <f t="shared" si="9"/>
        <v>0</v>
      </c>
      <c r="HK13" s="165">
        <v>1</v>
      </c>
      <c r="HL13" s="165">
        <v>0</v>
      </c>
      <c r="HM13" s="165">
        <v>0</v>
      </c>
      <c r="HN13" s="271">
        <f t="shared" si="10"/>
        <v>1.4043391743391744</v>
      </c>
    </row>
    <row r="14" spans="1:222" ht="24" customHeight="1" x14ac:dyDescent="0.45">
      <c r="G14" s="265" t="s">
        <v>253</v>
      </c>
      <c r="L14" s="166" t="s">
        <v>184</v>
      </c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>
        <v>1</v>
      </c>
      <c r="X14" s="178"/>
      <c r="Y14" s="165">
        <v>1</v>
      </c>
      <c r="Z14" s="165"/>
      <c r="AA14" s="165">
        <v>1</v>
      </c>
      <c r="AC14" s="166" t="s">
        <v>184</v>
      </c>
      <c r="AD14" s="165"/>
      <c r="AE14" s="165"/>
      <c r="AF14" s="165"/>
      <c r="AG14" s="165"/>
      <c r="AH14" s="165"/>
      <c r="AI14" s="165"/>
      <c r="AJ14" s="165"/>
      <c r="AK14" s="165"/>
      <c r="AL14" s="165"/>
      <c r="AM14" s="165"/>
      <c r="AN14" s="165">
        <v>59</v>
      </c>
      <c r="AO14" s="170"/>
      <c r="AP14" s="165">
        <v>112</v>
      </c>
      <c r="AQ14" s="165"/>
      <c r="AR14" s="165">
        <v>79</v>
      </c>
      <c r="AT14" s="166" t="s">
        <v>184</v>
      </c>
      <c r="AU14" s="165"/>
      <c r="AV14" s="165"/>
      <c r="AW14" s="165"/>
      <c r="AX14" s="165"/>
      <c r="AY14" s="165"/>
      <c r="AZ14" s="165"/>
      <c r="BA14" s="165"/>
      <c r="BB14" s="165"/>
      <c r="BC14" s="165"/>
      <c r="BD14" s="165"/>
      <c r="BE14" s="165">
        <v>1</v>
      </c>
      <c r="BF14" s="180"/>
      <c r="BG14" s="165">
        <v>2</v>
      </c>
      <c r="BH14" s="165"/>
      <c r="BI14" s="165">
        <v>1</v>
      </c>
      <c r="BP14" s="166" t="s">
        <v>184</v>
      </c>
      <c r="BQ14" s="165"/>
      <c r="BR14" s="165"/>
      <c r="BS14" s="165"/>
      <c r="BT14" s="165"/>
      <c r="BU14" s="165"/>
      <c r="BV14" s="165"/>
      <c r="BW14" s="165"/>
      <c r="BX14" s="165"/>
      <c r="BY14" s="165"/>
      <c r="BZ14" s="165"/>
      <c r="CA14" s="165">
        <v>0</v>
      </c>
      <c r="CB14" s="175"/>
      <c r="CC14" s="165">
        <v>0</v>
      </c>
      <c r="CD14" s="165"/>
      <c r="CE14" s="165">
        <v>0</v>
      </c>
      <c r="CL14" s="166" t="s">
        <v>184</v>
      </c>
      <c r="CM14" s="165"/>
      <c r="CN14" s="165"/>
      <c r="CO14" s="165"/>
      <c r="CP14" s="165"/>
      <c r="CQ14" s="165"/>
      <c r="CR14" s="165"/>
      <c r="CS14" s="165"/>
      <c r="CT14" s="165"/>
      <c r="CU14" s="165"/>
      <c r="CV14" s="165"/>
      <c r="CW14" s="165">
        <v>0</v>
      </c>
      <c r="CX14" s="173"/>
      <c r="CY14" s="165">
        <v>0</v>
      </c>
      <c r="CZ14" s="165"/>
      <c r="DA14" s="165">
        <v>0</v>
      </c>
      <c r="DD14" s="166" t="s">
        <v>184</v>
      </c>
      <c r="DE14" s="165"/>
      <c r="DF14" s="165"/>
      <c r="DG14" s="165"/>
      <c r="DH14" s="165"/>
      <c r="DI14" s="165"/>
      <c r="DJ14" s="165"/>
      <c r="DK14" s="165"/>
      <c r="DL14" s="165"/>
      <c r="DM14" s="165"/>
      <c r="DN14" s="165"/>
      <c r="DO14" s="165">
        <v>0</v>
      </c>
      <c r="DP14" s="172"/>
      <c r="DQ14" s="165">
        <v>0</v>
      </c>
      <c r="DR14" s="165"/>
      <c r="DS14" s="165">
        <v>0</v>
      </c>
      <c r="DU14" s="166" t="s">
        <v>184</v>
      </c>
      <c r="DV14" s="165">
        <v>0</v>
      </c>
      <c r="DW14" s="165">
        <v>0</v>
      </c>
      <c r="DX14" s="165">
        <v>0</v>
      </c>
      <c r="DY14" s="165">
        <v>0</v>
      </c>
      <c r="DZ14" s="165">
        <v>0</v>
      </c>
      <c r="EA14" s="165">
        <v>0</v>
      </c>
      <c r="EB14" s="165">
        <v>0</v>
      </c>
      <c r="EC14" s="165">
        <v>0</v>
      </c>
      <c r="ED14" s="165">
        <v>0</v>
      </c>
      <c r="EE14" s="165">
        <v>0</v>
      </c>
      <c r="EF14" s="165">
        <v>0.8</v>
      </c>
      <c r="EG14" s="177">
        <v>0</v>
      </c>
      <c r="EH14" s="165">
        <v>1.6</v>
      </c>
      <c r="EI14" s="165">
        <v>0</v>
      </c>
      <c r="EJ14" s="165">
        <v>0.8</v>
      </c>
      <c r="ET14" s="166" t="s">
        <v>184</v>
      </c>
      <c r="EU14" s="165">
        <v>0</v>
      </c>
      <c r="EV14" s="165">
        <v>0</v>
      </c>
      <c r="EW14" s="165">
        <v>0</v>
      </c>
      <c r="EX14" s="165">
        <v>0</v>
      </c>
      <c r="EY14" s="165">
        <v>0</v>
      </c>
      <c r="EZ14" s="165">
        <v>0</v>
      </c>
      <c r="FA14" s="165">
        <v>0</v>
      </c>
      <c r="FB14" s="165">
        <v>0</v>
      </c>
      <c r="FC14" s="165">
        <v>0</v>
      </c>
      <c r="FD14" s="165">
        <v>0</v>
      </c>
      <c r="FE14" s="165">
        <v>47.2</v>
      </c>
      <c r="FF14" s="177">
        <v>0</v>
      </c>
      <c r="FG14" s="165">
        <v>179.20000000000002</v>
      </c>
      <c r="FH14" s="165">
        <v>0</v>
      </c>
      <c r="FI14" s="165">
        <v>63.2</v>
      </c>
      <c r="FK14" s="166" t="s">
        <v>184</v>
      </c>
      <c r="FL14" s="165">
        <v>0</v>
      </c>
      <c r="FM14" s="165">
        <v>0</v>
      </c>
      <c r="FN14" s="165">
        <v>0</v>
      </c>
      <c r="FO14" s="165">
        <v>0</v>
      </c>
      <c r="FP14" s="165">
        <v>0</v>
      </c>
      <c r="FQ14" s="165">
        <v>0</v>
      </c>
      <c r="FR14" s="165">
        <v>0</v>
      </c>
      <c r="FS14" s="165">
        <v>0</v>
      </c>
      <c r="FT14" s="165">
        <v>0</v>
      </c>
      <c r="FU14" s="165">
        <v>0</v>
      </c>
      <c r="FV14" s="165">
        <v>0</v>
      </c>
      <c r="FW14" s="173">
        <v>0</v>
      </c>
      <c r="FX14" s="165">
        <v>0</v>
      </c>
      <c r="FY14" s="165">
        <v>0</v>
      </c>
      <c r="FZ14" s="165">
        <v>0</v>
      </c>
      <c r="GC14" s="166" t="s">
        <v>184</v>
      </c>
      <c r="GD14" s="165">
        <v>0</v>
      </c>
      <c r="GE14" s="165">
        <v>0</v>
      </c>
      <c r="GF14" s="165">
        <v>0</v>
      </c>
      <c r="GG14" s="165">
        <v>0</v>
      </c>
      <c r="GH14" s="165">
        <v>0</v>
      </c>
      <c r="GI14" s="165">
        <v>0</v>
      </c>
      <c r="GJ14" s="165">
        <v>0</v>
      </c>
      <c r="GK14" s="165">
        <v>0</v>
      </c>
      <c r="GL14" s="165">
        <v>0</v>
      </c>
      <c r="GM14" s="165">
        <v>0</v>
      </c>
      <c r="GN14" s="165">
        <v>0</v>
      </c>
      <c r="GO14" s="172">
        <v>0</v>
      </c>
      <c r="GP14" s="165">
        <v>0</v>
      </c>
      <c r="GQ14" s="165">
        <v>0</v>
      </c>
      <c r="GR14" s="165">
        <v>0</v>
      </c>
      <c r="GT14" s="166" t="s">
        <v>184</v>
      </c>
      <c r="GU14" s="165">
        <f>47.2+179.2+63.2</f>
        <v>289.59999999999997</v>
      </c>
      <c r="GV14" s="165">
        <v>0</v>
      </c>
      <c r="GW14" s="165">
        <v>0</v>
      </c>
      <c r="GX14" s="185">
        <f t="shared" si="2"/>
        <v>5.3757053757053752E-2</v>
      </c>
      <c r="GY14" s="185">
        <f t="shared" si="3"/>
        <v>0</v>
      </c>
      <c r="GZ14" s="185">
        <f t="shared" si="4"/>
        <v>0</v>
      </c>
      <c r="HA14" s="165">
        <f t="shared" si="5"/>
        <v>1.3428512028512027</v>
      </c>
      <c r="HB14" s="165">
        <f t="shared" si="6"/>
        <v>0</v>
      </c>
      <c r="HC14" s="165">
        <f t="shared" si="0"/>
        <v>0</v>
      </c>
      <c r="HD14" s="165">
        <v>0</v>
      </c>
      <c r="HE14" s="165">
        <v>0</v>
      </c>
      <c r="HF14" s="165">
        <v>0</v>
      </c>
      <c r="HG14" s="267">
        <f t="shared" si="7"/>
        <v>1.3428512028512027</v>
      </c>
      <c r="HH14" s="165">
        <f t="shared" si="1"/>
        <v>1.3428512028512027</v>
      </c>
      <c r="HI14" s="165">
        <f t="shared" si="8"/>
        <v>0</v>
      </c>
      <c r="HJ14" s="165">
        <f t="shared" si="9"/>
        <v>0</v>
      </c>
      <c r="HK14" s="165">
        <v>0</v>
      </c>
      <c r="HL14" s="165">
        <v>0</v>
      </c>
      <c r="HM14" s="165">
        <v>0</v>
      </c>
      <c r="HN14" s="271">
        <f t="shared" si="10"/>
        <v>1.3428512028512027</v>
      </c>
    </row>
    <row r="15" spans="1:222" ht="29.4" customHeight="1" x14ac:dyDescent="0.45">
      <c r="G15" s="265" t="s">
        <v>254</v>
      </c>
      <c r="L15" s="166" t="s">
        <v>264</v>
      </c>
      <c r="M15" s="165"/>
      <c r="N15" s="165"/>
      <c r="O15" s="165"/>
      <c r="P15" s="165">
        <v>1</v>
      </c>
      <c r="Q15" s="165"/>
      <c r="R15" s="165"/>
      <c r="S15" s="165"/>
      <c r="T15" s="165"/>
      <c r="U15" s="165"/>
      <c r="V15" s="165"/>
      <c r="W15" s="165"/>
      <c r="X15" s="165">
        <v>1</v>
      </c>
      <c r="Y15" s="178"/>
      <c r="Z15" s="165">
        <v>1</v>
      </c>
      <c r="AA15" s="165"/>
      <c r="AC15" s="166" t="s">
        <v>264</v>
      </c>
      <c r="AD15" s="165"/>
      <c r="AE15" s="165"/>
      <c r="AF15" s="165"/>
      <c r="AG15" s="165">
        <v>162</v>
      </c>
      <c r="AH15" s="165"/>
      <c r="AI15" s="165"/>
      <c r="AJ15" s="165"/>
      <c r="AK15" s="165"/>
      <c r="AL15" s="165"/>
      <c r="AM15" s="165"/>
      <c r="AN15" s="165"/>
      <c r="AO15" s="165">
        <v>112</v>
      </c>
      <c r="AP15" s="170"/>
      <c r="AQ15" s="165">
        <v>100</v>
      </c>
      <c r="AR15" s="165"/>
      <c r="AT15" s="166" t="s">
        <v>264</v>
      </c>
      <c r="AU15" s="165"/>
      <c r="AV15" s="165"/>
      <c r="AW15" s="165"/>
      <c r="AX15" s="165">
        <v>1</v>
      </c>
      <c r="AY15" s="165"/>
      <c r="AZ15" s="165"/>
      <c r="BA15" s="165"/>
      <c r="BB15" s="165"/>
      <c r="BC15" s="165"/>
      <c r="BD15" s="165"/>
      <c r="BE15" s="165"/>
      <c r="BF15" s="165">
        <v>2</v>
      </c>
      <c r="BG15" s="180"/>
      <c r="BH15" s="165">
        <v>1</v>
      </c>
      <c r="BI15" s="165"/>
      <c r="BP15" s="166" t="s">
        <v>264</v>
      </c>
      <c r="BQ15" s="165"/>
      <c r="BR15" s="165"/>
      <c r="BS15" s="165"/>
      <c r="BT15" s="165">
        <v>1</v>
      </c>
      <c r="BU15" s="165"/>
      <c r="BV15" s="165"/>
      <c r="BW15" s="165"/>
      <c r="BX15" s="165"/>
      <c r="BY15" s="165"/>
      <c r="BZ15" s="165"/>
      <c r="CA15" s="165"/>
      <c r="CB15" s="165">
        <v>0</v>
      </c>
      <c r="CC15" s="175"/>
      <c r="CD15" s="165">
        <v>1</v>
      </c>
      <c r="CE15" s="165"/>
      <c r="CL15" s="166" t="s">
        <v>264</v>
      </c>
      <c r="CM15" s="165"/>
      <c r="CN15" s="165"/>
      <c r="CO15" s="165"/>
      <c r="CP15" s="165">
        <v>1</v>
      </c>
      <c r="CQ15" s="165"/>
      <c r="CR15" s="165"/>
      <c r="CS15" s="165"/>
      <c r="CT15" s="165"/>
      <c r="CU15" s="165"/>
      <c r="CV15" s="165"/>
      <c r="CW15" s="165"/>
      <c r="CX15" s="165">
        <v>0</v>
      </c>
      <c r="CY15" s="173"/>
      <c r="CZ15" s="165">
        <v>1</v>
      </c>
      <c r="DA15" s="165"/>
      <c r="DD15" s="166" t="s">
        <v>264</v>
      </c>
      <c r="DE15" s="165"/>
      <c r="DF15" s="165"/>
      <c r="DG15" s="165"/>
      <c r="DH15" s="165">
        <v>0</v>
      </c>
      <c r="DI15" s="165"/>
      <c r="DJ15" s="165"/>
      <c r="DK15" s="165"/>
      <c r="DL15" s="165"/>
      <c r="DM15" s="165"/>
      <c r="DN15" s="165"/>
      <c r="DO15" s="165"/>
      <c r="DP15" s="165">
        <v>0</v>
      </c>
      <c r="DQ15" s="172"/>
      <c r="DR15" s="165">
        <v>0</v>
      </c>
      <c r="DS15" s="165"/>
      <c r="DU15" s="166" t="s">
        <v>264</v>
      </c>
      <c r="DV15" s="165">
        <v>0</v>
      </c>
      <c r="DW15" s="165">
        <v>0</v>
      </c>
      <c r="DX15" s="165">
        <v>0</v>
      </c>
      <c r="DY15" s="165">
        <v>2.4000000000000004</v>
      </c>
      <c r="DZ15" s="165">
        <v>0</v>
      </c>
      <c r="EA15" s="165">
        <v>0</v>
      </c>
      <c r="EB15" s="165">
        <v>0</v>
      </c>
      <c r="EC15" s="165">
        <v>0</v>
      </c>
      <c r="ED15" s="165">
        <v>0</v>
      </c>
      <c r="EE15" s="165">
        <v>0</v>
      </c>
      <c r="EF15" s="165">
        <v>0</v>
      </c>
      <c r="EG15" s="165">
        <v>1.6</v>
      </c>
      <c r="EH15" s="177">
        <v>0</v>
      </c>
      <c r="EI15" s="165">
        <v>2.4000000000000004</v>
      </c>
      <c r="EJ15" s="165">
        <v>0</v>
      </c>
      <c r="ET15" s="166" t="s">
        <v>264</v>
      </c>
      <c r="EU15" s="165">
        <v>0</v>
      </c>
      <c r="EV15" s="165">
        <v>0</v>
      </c>
      <c r="EW15" s="165">
        <v>0</v>
      </c>
      <c r="EX15" s="165">
        <v>388.80000000000007</v>
      </c>
      <c r="EY15" s="165">
        <v>0</v>
      </c>
      <c r="EZ15" s="165">
        <v>0</v>
      </c>
      <c r="FA15" s="165">
        <v>0</v>
      </c>
      <c r="FB15" s="165">
        <v>0</v>
      </c>
      <c r="FC15" s="165">
        <v>0</v>
      </c>
      <c r="FD15" s="165">
        <v>0</v>
      </c>
      <c r="FE15" s="165">
        <v>0</v>
      </c>
      <c r="FF15" s="165">
        <v>179.20000000000002</v>
      </c>
      <c r="FG15" s="177">
        <v>0</v>
      </c>
      <c r="FH15" s="165">
        <v>240.00000000000003</v>
      </c>
      <c r="FI15" s="165">
        <v>0</v>
      </c>
      <c r="FK15" s="166" t="s">
        <v>264</v>
      </c>
      <c r="FL15" s="165">
        <v>0</v>
      </c>
      <c r="FM15" s="165">
        <v>0</v>
      </c>
      <c r="FN15" s="165">
        <v>0</v>
      </c>
      <c r="FO15" s="165">
        <v>162</v>
      </c>
      <c r="FP15" s="165">
        <v>0</v>
      </c>
      <c r="FQ15" s="165">
        <v>0</v>
      </c>
      <c r="FR15" s="165">
        <v>0</v>
      </c>
      <c r="FS15" s="165">
        <v>0</v>
      </c>
      <c r="FT15" s="165">
        <v>0</v>
      </c>
      <c r="FU15" s="165">
        <v>0</v>
      </c>
      <c r="FV15" s="165">
        <v>0</v>
      </c>
      <c r="FW15" s="165">
        <v>0</v>
      </c>
      <c r="FX15" s="173">
        <v>0</v>
      </c>
      <c r="FY15" s="165">
        <v>100</v>
      </c>
      <c r="FZ15" s="165">
        <v>0</v>
      </c>
      <c r="GC15" s="166" t="s">
        <v>264</v>
      </c>
      <c r="GD15" s="165">
        <v>0</v>
      </c>
      <c r="GE15" s="165">
        <v>0</v>
      </c>
      <c r="GF15" s="165">
        <v>0</v>
      </c>
      <c r="GG15" s="165">
        <v>0</v>
      </c>
      <c r="GH15" s="165">
        <v>0</v>
      </c>
      <c r="GI15" s="165">
        <v>0</v>
      </c>
      <c r="GJ15" s="165">
        <v>0</v>
      </c>
      <c r="GK15" s="165">
        <v>0</v>
      </c>
      <c r="GL15" s="165">
        <v>0</v>
      </c>
      <c r="GM15" s="165">
        <v>0</v>
      </c>
      <c r="GN15" s="165">
        <v>0</v>
      </c>
      <c r="GO15" s="165">
        <v>0</v>
      </c>
      <c r="GP15" s="172">
        <v>0</v>
      </c>
      <c r="GQ15" s="165">
        <v>0</v>
      </c>
      <c r="GR15" s="165">
        <v>0</v>
      </c>
      <c r="GT15" s="166" t="s">
        <v>264</v>
      </c>
      <c r="GU15" s="165">
        <f>388.8+179.2+240</f>
        <v>808</v>
      </c>
      <c r="GV15" s="165">
        <f>162+100</f>
        <v>262</v>
      </c>
      <c r="GW15" s="165">
        <v>0</v>
      </c>
      <c r="GX15" s="185">
        <f t="shared" si="2"/>
        <v>0.14998514998515</v>
      </c>
      <c r="GY15" s="185">
        <f t="shared" si="3"/>
        <v>0.1132238547968885</v>
      </c>
      <c r="GZ15" s="185">
        <f t="shared" si="4"/>
        <v>0</v>
      </c>
      <c r="HA15" s="165">
        <f t="shared" si="5"/>
        <v>3.7466290466290473</v>
      </c>
      <c r="HB15" s="165">
        <f t="shared" si="6"/>
        <v>1.3507605877268798</v>
      </c>
      <c r="HC15" s="165">
        <f t="shared" si="0"/>
        <v>0</v>
      </c>
      <c r="HD15" s="165">
        <v>0</v>
      </c>
      <c r="HE15" s="165"/>
      <c r="HF15" s="165">
        <v>0</v>
      </c>
      <c r="HG15" s="267">
        <f t="shared" si="7"/>
        <v>5.0973896343559275</v>
      </c>
      <c r="HH15" s="165">
        <f t="shared" si="1"/>
        <v>3.7466290466290473</v>
      </c>
      <c r="HI15" s="165">
        <f t="shared" si="8"/>
        <v>0</v>
      </c>
      <c r="HJ15" s="165">
        <f t="shared" si="9"/>
        <v>0</v>
      </c>
      <c r="HK15" s="165">
        <v>0</v>
      </c>
      <c r="HL15" s="165">
        <v>0</v>
      </c>
      <c r="HM15" s="165">
        <v>0</v>
      </c>
      <c r="HN15" s="271">
        <f t="shared" si="10"/>
        <v>3.7466290466290473</v>
      </c>
    </row>
    <row r="16" spans="1:222" ht="27" customHeight="1" x14ac:dyDescent="0.45">
      <c r="G16" s="265" t="s">
        <v>255</v>
      </c>
      <c r="L16" s="166" t="s">
        <v>265</v>
      </c>
      <c r="M16" s="165"/>
      <c r="N16" s="165"/>
      <c r="O16" s="165"/>
      <c r="P16" s="165"/>
      <c r="Q16" s="165"/>
      <c r="R16" s="165"/>
      <c r="S16" s="165"/>
      <c r="T16" s="165">
        <v>1</v>
      </c>
      <c r="U16" s="165"/>
      <c r="V16" s="165">
        <v>1</v>
      </c>
      <c r="W16" s="165"/>
      <c r="X16" s="165"/>
      <c r="Y16" s="165">
        <v>1</v>
      </c>
      <c r="Z16" s="178"/>
      <c r="AA16" s="165"/>
      <c r="AC16" s="166" t="s">
        <v>265</v>
      </c>
      <c r="AD16" s="165"/>
      <c r="AE16" s="165"/>
      <c r="AF16" s="165"/>
      <c r="AG16" s="165"/>
      <c r="AH16" s="165"/>
      <c r="AI16" s="165"/>
      <c r="AJ16" s="165"/>
      <c r="AK16" s="165">
        <v>140</v>
      </c>
      <c r="AL16" s="165"/>
      <c r="AM16" s="165">
        <v>74</v>
      </c>
      <c r="AN16" s="165"/>
      <c r="AO16" s="165"/>
      <c r="AP16" s="165">
        <v>100</v>
      </c>
      <c r="AQ16" s="170"/>
      <c r="AR16" s="165"/>
      <c r="AT16" s="166" t="s">
        <v>265</v>
      </c>
      <c r="AU16" s="165"/>
      <c r="AV16" s="165"/>
      <c r="AW16" s="165"/>
      <c r="AX16" s="165"/>
      <c r="AY16" s="165"/>
      <c r="AZ16" s="165"/>
      <c r="BA16" s="165"/>
      <c r="BB16" s="165">
        <v>0</v>
      </c>
      <c r="BC16" s="165"/>
      <c r="BD16" s="165">
        <v>1</v>
      </c>
      <c r="BE16" s="165"/>
      <c r="BF16" s="165"/>
      <c r="BG16" s="165">
        <v>1</v>
      </c>
      <c r="BH16" s="180"/>
      <c r="BI16" s="165"/>
      <c r="BP16" s="166" t="s">
        <v>265</v>
      </c>
      <c r="BQ16" s="165"/>
      <c r="BR16" s="165"/>
      <c r="BS16" s="165"/>
      <c r="BT16" s="165"/>
      <c r="BU16" s="165"/>
      <c r="BV16" s="165"/>
      <c r="BW16" s="165"/>
      <c r="BX16" s="165">
        <v>2</v>
      </c>
      <c r="BY16" s="165"/>
      <c r="BZ16" s="165">
        <v>1</v>
      </c>
      <c r="CA16" s="165"/>
      <c r="CB16" s="165"/>
      <c r="CC16" s="165">
        <v>1</v>
      </c>
      <c r="CD16" s="175"/>
      <c r="CE16" s="165"/>
      <c r="CL16" s="166" t="s">
        <v>265</v>
      </c>
      <c r="CM16" s="165"/>
      <c r="CN16" s="165"/>
      <c r="CO16" s="165"/>
      <c r="CP16" s="165"/>
      <c r="CQ16" s="165"/>
      <c r="CR16" s="165"/>
      <c r="CS16" s="165"/>
      <c r="CT16" s="165">
        <v>2</v>
      </c>
      <c r="CU16" s="165"/>
      <c r="CV16" s="165">
        <v>1</v>
      </c>
      <c r="CW16" s="165"/>
      <c r="CX16" s="165"/>
      <c r="CY16" s="165">
        <v>1</v>
      </c>
      <c r="CZ16" s="173"/>
      <c r="DA16" s="165"/>
      <c r="DD16" s="166" t="s">
        <v>265</v>
      </c>
      <c r="DE16" s="165"/>
      <c r="DF16" s="165"/>
      <c r="DG16" s="165"/>
      <c r="DH16" s="165"/>
      <c r="DI16" s="165"/>
      <c r="DJ16" s="165"/>
      <c r="DK16" s="165"/>
      <c r="DL16" s="165">
        <v>0</v>
      </c>
      <c r="DM16" s="165"/>
      <c r="DN16" s="165">
        <v>0</v>
      </c>
      <c r="DO16" s="165"/>
      <c r="DP16" s="165"/>
      <c r="DQ16" s="165">
        <v>0</v>
      </c>
      <c r="DR16" s="172"/>
      <c r="DS16" s="165"/>
      <c r="DU16" s="166" t="s">
        <v>265</v>
      </c>
      <c r="DV16" s="165">
        <v>0</v>
      </c>
      <c r="DW16" s="165">
        <v>0</v>
      </c>
      <c r="DX16" s="165">
        <v>0</v>
      </c>
      <c r="DY16" s="165">
        <v>0</v>
      </c>
      <c r="DZ16" s="165">
        <v>0</v>
      </c>
      <c r="EA16" s="165">
        <v>0</v>
      </c>
      <c r="EB16" s="165">
        <v>0</v>
      </c>
      <c r="EC16" s="165">
        <v>3.2</v>
      </c>
      <c r="ED16" s="165">
        <v>0</v>
      </c>
      <c r="EE16" s="165">
        <v>2.4000000000000004</v>
      </c>
      <c r="EF16" s="165">
        <v>0</v>
      </c>
      <c r="EG16" s="165">
        <v>0</v>
      </c>
      <c r="EH16" s="165">
        <v>2.4000000000000004</v>
      </c>
      <c r="EI16" s="177">
        <v>0</v>
      </c>
      <c r="EJ16" s="165">
        <v>0</v>
      </c>
      <c r="ET16" s="166" t="s">
        <v>265</v>
      </c>
      <c r="EU16" s="165">
        <v>0</v>
      </c>
      <c r="EV16" s="165">
        <v>0</v>
      </c>
      <c r="EW16" s="165">
        <v>0</v>
      </c>
      <c r="EX16" s="165">
        <v>0</v>
      </c>
      <c r="EY16" s="165">
        <v>0</v>
      </c>
      <c r="EZ16" s="165">
        <v>0</v>
      </c>
      <c r="FA16" s="165">
        <v>0</v>
      </c>
      <c r="FB16" s="165">
        <v>448</v>
      </c>
      <c r="FC16" s="165">
        <v>0</v>
      </c>
      <c r="FD16" s="165">
        <v>177.60000000000002</v>
      </c>
      <c r="FE16" s="165">
        <v>0</v>
      </c>
      <c r="FF16" s="165">
        <v>0</v>
      </c>
      <c r="FG16" s="165">
        <v>240.00000000000003</v>
      </c>
      <c r="FH16" s="177">
        <v>0</v>
      </c>
      <c r="FI16" s="165">
        <v>0</v>
      </c>
      <c r="FK16" s="166" t="s">
        <v>265</v>
      </c>
      <c r="FL16" s="165">
        <v>0</v>
      </c>
      <c r="FM16" s="165">
        <v>0</v>
      </c>
      <c r="FN16" s="165">
        <v>0</v>
      </c>
      <c r="FO16" s="165">
        <v>0</v>
      </c>
      <c r="FP16" s="165">
        <v>0</v>
      </c>
      <c r="FQ16" s="165">
        <v>0</v>
      </c>
      <c r="FR16" s="165">
        <v>0</v>
      </c>
      <c r="FS16" s="165">
        <v>280</v>
      </c>
      <c r="FT16" s="165">
        <v>0</v>
      </c>
      <c r="FU16" s="165">
        <v>74</v>
      </c>
      <c r="FV16" s="165">
        <v>0</v>
      </c>
      <c r="FW16" s="165">
        <v>0</v>
      </c>
      <c r="FX16" s="165">
        <v>100</v>
      </c>
      <c r="FY16" s="173">
        <v>0</v>
      </c>
      <c r="FZ16" s="165">
        <v>0</v>
      </c>
      <c r="GC16" s="166" t="s">
        <v>265</v>
      </c>
      <c r="GD16" s="165">
        <v>0</v>
      </c>
      <c r="GE16" s="165">
        <v>0</v>
      </c>
      <c r="GF16" s="165">
        <v>0</v>
      </c>
      <c r="GG16" s="165">
        <v>0</v>
      </c>
      <c r="GH16" s="165">
        <v>0</v>
      </c>
      <c r="GI16" s="165">
        <v>0</v>
      </c>
      <c r="GJ16" s="165">
        <v>0</v>
      </c>
      <c r="GK16" s="165">
        <v>0</v>
      </c>
      <c r="GL16" s="165">
        <v>0</v>
      </c>
      <c r="GM16" s="165">
        <v>0</v>
      </c>
      <c r="GN16" s="165">
        <v>0</v>
      </c>
      <c r="GO16" s="165">
        <v>0</v>
      </c>
      <c r="GP16" s="165">
        <v>0</v>
      </c>
      <c r="GQ16" s="172">
        <v>0</v>
      </c>
      <c r="GR16" s="165">
        <v>0</v>
      </c>
      <c r="GT16" s="166" t="s">
        <v>265</v>
      </c>
      <c r="GU16" s="165">
        <f>448+177.6+240</f>
        <v>865.6</v>
      </c>
      <c r="GV16" s="165">
        <f>280+100+74</f>
        <v>454</v>
      </c>
      <c r="GW16" s="165">
        <v>0</v>
      </c>
      <c r="GX16" s="185">
        <f t="shared" si="2"/>
        <v>0.16067716067716067</v>
      </c>
      <c r="GY16" s="185">
        <f t="shared" si="3"/>
        <v>0.19619706136560069</v>
      </c>
      <c r="GZ16" s="185">
        <f t="shared" si="4"/>
        <v>0</v>
      </c>
      <c r="HA16" s="165">
        <f t="shared" si="5"/>
        <v>4.0137154737154734</v>
      </c>
      <c r="HB16" s="165">
        <f t="shared" si="6"/>
        <v>2.3406309420916163</v>
      </c>
      <c r="HC16" s="165">
        <f t="shared" si="0"/>
        <v>0</v>
      </c>
      <c r="HD16" s="165">
        <v>0</v>
      </c>
      <c r="HE16" s="165">
        <v>0</v>
      </c>
      <c r="HF16" s="165">
        <v>5</v>
      </c>
      <c r="HG16" s="267">
        <f t="shared" si="7"/>
        <v>11.35434641580709</v>
      </c>
      <c r="HH16" s="165">
        <f t="shared" si="1"/>
        <v>4.0137154737154734</v>
      </c>
      <c r="HI16" s="165">
        <f t="shared" si="8"/>
        <v>0</v>
      </c>
      <c r="HJ16" s="165">
        <f t="shared" si="9"/>
        <v>0</v>
      </c>
      <c r="HK16" s="165">
        <v>0</v>
      </c>
      <c r="HL16" s="165">
        <v>0</v>
      </c>
      <c r="HM16" s="165">
        <v>5</v>
      </c>
      <c r="HN16" s="271">
        <f t="shared" si="10"/>
        <v>9.0137154737154734</v>
      </c>
    </row>
    <row r="17" spans="7:222" ht="37.799999999999997" customHeight="1" x14ac:dyDescent="0.45">
      <c r="G17" s="265" t="s">
        <v>256</v>
      </c>
      <c r="L17" s="166" t="s">
        <v>266</v>
      </c>
      <c r="M17" s="165"/>
      <c r="N17" s="165">
        <v>1</v>
      </c>
      <c r="O17" s="165">
        <v>1</v>
      </c>
      <c r="P17" s="165"/>
      <c r="Q17" s="165"/>
      <c r="R17" s="165"/>
      <c r="S17" s="165"/>
      <c r="T17" s="165"/>
      <c r="U17" s="165"/>
      <c r="V17" s="165"/>
      <c r="W17" s="165"/>
      <c r="X17" s="165">
        <v>1</v>
      </c>
      <c r="Y17" s="165"/>
      <c r="Z17" s="165"/>
      <c r="AA17" s="178"/>
      <c r="AC17" s="166" t="s">
        <v>266</v>
      </c>
      <c r="AD17" s="165"/>
      <c r="AE17" s="165">
        <v>255</v>
      </c>
      <c r="AF17" s="165">
        <v>151</v>
      </c>
      <c r="AG17" s="165"/>
      <c r="AH17" s="165"/>
      <c r="AI17" s="165"/>
      <c r="AJ17" s="165"/>
      <c r="AK17" s="165"/>
      <c r="AL17" s="165"/>
      <c r="AM17" s="165"/>
      <c r="AN17" s="165"/>
      <c r="AO17" s="165">
        <v>79</v>
      </c>
      <c r="AP17" s="165"/>
      <c r="AQ17" s="165"/>
      <c r="AR17" s="170"/>
      <c r="AT17" s="166" t="s">
        <v>266</v>
      </c>
      <c r="AU17" s="165"/>
      <c r="AV17" s="165">
        <v>0</v>
      </c>
      <c r="AW17" s="165">
        <v>1</v>
      </c>
      <c r="AX17" s="165"/>
      <c r="AY17" s="165"/>
      <c r="AZ17" s="165"/>
      <c r="BA17" s="165"/>
      <c r="BB17" s="165"/>
      <c r="BC17" s="165"/>
      <c r="BD17" s="165"/>
      <c r="BE17" s="165"/>
      <c r="BF17" s="165">
        <v>1</v>
      </c>
      <c r="BG17" s="165"/>
      <c r="BH17" s="165"/>
      <c r="BI17" s="180"/>
      <c r="BP17" s="166" t="s">
        <v>266</v>
      </c>
      <c r="BQ17" s="165"/>
      <c r="BR17" s="165">
        <v>0</v>
      </c>
      <c r="BS17" s="165">
        <v>0</v>
      </c>
      <c r="BT17" s="165"/>
      <c r="BU17" s="165"/>
      <c r="BV17" s="165"/>
      <c r="BW17" s="165"/>
      <c r="BX17" s="165"/>
      <c r="BY17" s="165"/>
      <c r="BZ17" s="165"/>
      <c r="CA17" s="165"/>
      <c r="CB17" s="165">
        <v>0</v>
      </c>
      <c r="CC17" s="165"/>
      <c r="CD17" s="165"/>
      <c r="CE17" s="175"/>
      <c r="CL17" s="166" t="s">
        <v>266</v>
      </c>
      <c r="CM17" s="165"/>
      <c r="CN17" s="165">
        <v>0</v>
      </c>
      <c r="CO17" s="165">
        <v>0</v>
      </c>
      <c r="CP17" s="165"/>
      <c r="CQ17" s="165"/>
      <c r="CR17" s="165"/>
      <c r="CS17" s="165"/>
      <c r="CT17" s="165"/>
      <c r="CU17" s="165"/>
      <c r="CV17" s="165"/>
      <c r="CW17" s="165"/>
      <c r="CX17" s="165">
        <v>0</v>
      </c>
      <c r="CY17" s="165"/>
      <c r="CZ17" s="165"/>
      <c r="DA17" s="173"/>
      <c r="DD17" s="166" t="s">
        <v>266</v>
      </c>
      <c r="DE17" s="165"/>
      <c r="DF17" s="165">
        <v>0</v>
      </c>
      <c r="DG17" s="165">
        <v>0</v>
      </c>
      <c r="DH17" s="165"/>
      <c r="DI17" s="165"/>
      <c r="DJ17" s="165"/>
      <c r="DK17" s="165"/>
      <c r="DL17" s="165"/>
      <c r="DM17" s="165"/>
      <c r="DN17" s="165"/>
      <c r="DO17" s="165"/>
      <c r="DP17" s="165">
        <v>0</v>
      </c>
      <c r="DQ17" s="165"/>
      <c r="DR17" s="165"/>
      <c r="DS17" s="172"/>
      <c r="DU17" s="166" t="s">
        <v>266</v>
      </c>
      <c r="DV17" s="165">
        <v>0</v>
      </c>
      <c r="DW17" s="165">
        <v>0</v>
      </c>
      <c r="DX17" s="165">
        <v>0.8</v>
      </c>
      <c r="DY17" s="165">
        <v>0</v>
      </c>
      <c r="DZ17" s="165">
        <v>0</v>
      </c>
      <c r="EA17" s="165">
        <v>0</v>
      </c>
      <c r="EB17" s="165">
        <v>0</v>
      </c>
      <c r="EC17" s="165">
        <v>0</v>
      </c>
      <c r="ED17" s="165">
        <v>0</v>
      </c>
      <c r="EE17" s="165">
        <v>0</v>
      </c>
      <c r="EF17" s="165">
        <v>0</v>
      </c>
      <c r="EG17" s="165">
        <v>0.8</v>
      </c>
      <c r="EH17" s="165">
        <v>0</v>
      </c>
      <c r="EI17" s="165">
        <v>0</v>
      </c>
      <c r="EJ17" s="177">
        <v>0</v>
      </c>
      <c r="ET17" s="166" t="s">
        <v>266</v>
      </c>
      <c r="EU17" s="165">
        <v>0</v>
      </c>
      <c r="EV17" s="165">
        <v>0</v>
      </c>
      <c r="EW17" s="165">
        <v>120.80000000000001</v>
      </c>
      <c r="EX17" s="165">
        <v>0</v>
      </c>
      <c r="EY17" s="165">
        <v>0</v>
      </c>
      <c r="EZ17" s="165">
        <v>0</v>
      </c>
      <c r="FA17" s="165">
        <v>0</v>
      </c>
      <c r="FB17" s="165">
        <v>0</v>
      </c>
      <c r="FC17" s="165">
        <v>0</v>
      </c>
      <c r="FD17" s="165">
        <v>0</v>
      </c>
      <c r="FE17" s="165">
        <v>0</v>
      </c>
      <c r="FF17" s="165">
        <v>63.2</v>
      </c>
      <c r="FG17" s="165">
        <v>0</v>
      </c>
      <c r="FH17" s="165">
        <v>0</v>
      </c>
      <c r="FI17" s="177">
        <v>0</v>
      </c>
      <c r="FK17" s="166" t="s">
        <v>266</v>
      </c>
      <c r="FL17" s="165">
        <v>0</v>
      </c>
      <c r="FM17" s="165">
        <v>0</v>
      </c>
      <c r="FN17" s="165">
        <v>0</v>
      </c>
      <c r="FO17" s="165">
        <v>0</v>
      </c>
      <c r="FP17" s="165">
        <v>0</v>
      </c>
      <c r="FQ17" s="165">
        <v>0</v>
      </c>
      <c r="FR17" s="165">
        <v>0</v>
      </c>
      <c r="FS17" s="165">
        <v>0</v>
      </c>
      <c r="FT17" s="165">
        <v>0</v>
      </c>
      <c r="FU17" s="165">
        <v>0</v>
      </c>
      <c r="FV17" s="165">
        <v>0</v>
      </c>
      <c r="FW17" s="165">
        <v>0</v>
      </c>
      <c r="FX17" s="165">
        <v>0</v>
      </c>
      <c r="FY17" s="165">
        <v>0</v>
      </c>
      <c r="FZ17" s="173">
        <v>0</v>
      </c>
      <c r="GC17" s="166" t="s">
        <v>266</v>
      </c>
      <c r="GD17" s="165">
        <v>0</v>
      </c>
      <c r="GE17" s="165">
        <v>0</v>
      </c>
      <c r="GF17" s="165">
        <v>0</v>
      </c>
      <c r="GG17" s="165">
        <v>0</v>
      </c>
      <c r="GH17" s="165">
        <v>0</v>
      </c>
      <c r="GI17" s="165">
        <v>0</v>
      </c>
      <c r="GJ17" s="165">
        <v>0</v>
      </c>
      <c r="GK17" s="165">
        <v>0</v>
      </c>
      <c r="GL17" s="165">
        <v>0</v>
      </c>
      <c r="GM17" s="165">
        <v>0</v>
      </c>
      <c r="GN17" s="165">
        <v>0</v>
      </c>
      <c r="GO17" s="165">
        <v>0</v>
      </c>
      <c r="GP17" s="165">
        <v>0</v>
      </c>
      <c r="GQ17" s="165">
        <v>0</v>
      </c>
      <c r="GR17" s="172">
        <v>0</v>
      </c>
      <c r="GT17" s="166" t="s">
        <v>266</v>
      </c>
      <c r="GU17" s="165">
        <f>120.8+63.2</f>
        <v>184</v>
      </c>
      <c r="GV17" s="165">
        <v>0</v>
      </c>
      <c r="GW17" s="165">
        <v>0</v>
      </c>
      <c r="GX17" s="185">
        <f t="shared" si="2"/>
        <v>3.4155034155034153E-2</v>
      </c>
      <c r="GY17" s="185">
        <f t="shared" si="3"/>
        <v>0</v>
      </c>
      <c r="GZ17" s="185">
        <f t="shared" si="4"/>
        <v>0</v>
      </c>
      <c r="HA17" s="165">
        <f t="shared" si="5"/>
        <v>0.85319275319275312</v>
      </c>
      <c r="HB17" s="165">
        <f t="shared" si="6"/>
        <v>0</v>
      </c>
      <c r="HC17" s="165">
        <f t="shared" si="0"/>
        <v>0</v>
      </c>
      <c r="HD17" s="165">
        <v>0</v>
      </c>
      <c r="HE17" s="165">
        <v>0</v>
      </c>
      <c r="HF17" s="165">
        <v>0</v>
      </c>
      <c r="HG17" s="267">
        <f t="shared" si="7"/>
        <v>0.85319275319275312</v>
      </c>
      <c r="HH17" s="165">
        <f t="shared" si="1"/>
        <v>0.85319275319275312</v>
      </c>
      <c r="HI17" s="165">
        <f t="shared" si="8"/>
        <v>0</v>
      </c>
      <c r="HJ17" s="165">
        <f t="shared" si="9"/>
        <v>0</v>
      </c>
      <c r="HK17" s="165">
        <v>0</v>
      </c>
      <c r="HL17" s="165">
        <v>0</v>
      </c>
      <c r="HM17" s="165">
        <v>0</v>
      </c>
      <c r="HN17" s="271">
        <f t="shared" si="10"/>
        <v>0.85319275319275312</v>
      </c>
    </row>
    <row r="18" spans="7:222" ht="31.2" customHeight="1" x14ac:dyDescent="0.55000000000000004">
      <c r="G18" s="265" t="s">
        <v>257</v>
      </c>
      <c r="GT18" s="166" t="s">
        <v>283</v>
      </c>
      <c r="GU18" s="165">
        <f t="shared" ref="GU18:HF18" si="11">SUM(GU3:GU17)</f>
        <v>5387.2000000000007</v>
      </c>
      <c r="GV18" s="165">
        <f t="shared" si="11"/>
        <v>2314</v>
      </c>
      <c r="GW18" s="165">
        <f t="shared" si="11"/>
        <v>1308</v>
      </c>
      <c r="GX18" s="185">
        <f t="shared" si="11"/>
        <v>1</v>
      </c>
      <c r="GY18" s="185">
        <f t="shared" si="11"/>
        <v>1</v>
      </c>
      <c r="GZ18" s="185">
        <f t="shared" si="11"/>
        <v>1</v>
      </c>
      <c r="HA18" s="165">
        <f t="shared" si="11"/>
        <v>24.98</v>
      </c>
      <c r="HB18" s="165">
        <f t="shared" si="11"/>
        <v>11.93</v>
      </c>
      <c r="HC18" s="165">
        <f t="shared" si="11"/>
        <v>10.94</v>
      </c>
      <c r="HD18" s="165">
        <f t="shared" si="11"/>
        <v>0</v>
      </c>
      <c r="HE18" s="165">
        <f t="shared" si="11"/>
        <v>4.18</v>
      </c>
      <c r="HF18" s="165">
        <f t="shared" si="11"/>
        <v>10</v>
      </c>
      <c r="HG18" s="268">
        <f>HA18+HB18+HC18+HD18+HE18+HF18</f>
        <v>62.029999999999994</v>
      </c>
      <c r="HH18" s="165">
        <f t="shared" ref="HH18:HN18" si="12">SUM(HH3:HH17)</f>
        <v>24.98</v>
      </c>
      <c r="HI18" s="165">
        <f t="shared" si="12"/>
        <v>0</v>
      </c>
      <c r="HJ18" s="165">
        <f t="shared" si="12"/>
        <v>0</v>
      </c>
      <c r="HK18" s="165">
        <f t="shared" si="12"/>
        <v>1</v>
      </c>
      <c r="HL18" s="165">
        <f t="shared" si="12"/>
        <v>4.18</v>
      </c>
      <c r="HM18" s="165">
        <f t="shared" si="12"/>
        <v>10</v>
      </c>
      <c r="HN18" s="272">
        <f t="shared" si="12"/>
        <v>40.159999999999997</v>
      </c>
    </row>
    <row r="19" spans="7:222" ht="46.2" x14ac:dyDescent="0.85">
      <c r="G19" s="265" t="s">
        <v>258</v>
      </c>
      <c r="ES19" s="181"/>
      <c r="EV19" s="182" t="s">
        <v>279</v>
      </c>
      <c r="EY19" s="260">
        <f>SUM(EU3:FI17)</f>
        <v>5387.2</v>
      </c>
      <c r="FM19" s="182" t="s">
        <v>279</v>
      </c>
      <c r="FP19" s="260">
        <f>SUM(FL3:FZ17)</f>
        <v>2314</v>
      </c>
      <c r="GE19" s="182" t="s">
        <v>279</v>
      </c>
      <c r="GH19" s="260">
        <f>SUM(GD3:GR17)</f>
        <v>1308</v>
      </c>
      <c r="HG19" s="269" t="s">
        <v>339</v>
      </c>
      <c r="HN19" s="273" t="s">
        <v>339</v>
      </c>
    </row>
    <row r="20" spans="7:222" ht="31.2" x14ac:dyDescent="0.6">
      <c r="G20" s="265" t="s">
        <v>259</v>
      </c>
      <c r="CW20" s="120"/>
      <c r="EV20" s="183"/>
      <c r="HG20" s="269" t="s">
        <v>340</v>
      </c>
      <c r="HN20" s="273" t="s">
        <v>340</v>
      </c>
    </row>
    <row r="21" spans="7:222" ht="31.2" x14ac:dyDescent="0.6">
      <c r="G21" s="265" t="s">
        <v>260</v>
      </c>
      <c r="DB21" s="120"/>
      <c r="DC21" s="120"/>
      <c r="HG21" s="269" t="s">
        <v>341</v>
      </c>
      <c r="HN21" s="273" t="s">
        <v>343</v>
      </c>
    </row>
    <row r="22" spans="7:222" ht="62.4" customHeight="1" x14ac:dyDescent="0.6">
      <c r="G22" s="265" t="s">
        <v>261</v>
      </c>
      <c r="AW22" s="179"/>
      <c r="BR22" s="176"/>
      <c r="HG22" s="269" t="s">
        <v>342</v>
      </c>
      <c r="HN22" s="273" t="s">
        <v>342</v>
      </c>
    </row>
    <row r="23" spans="7:222" ht="40.200000000000003" customHeight="1" x14ac:dyDescent="0.45">
      <c r="G23" s="265" t="s">
        <v>262</v>
      </c>
    </row>
    <row r="24" spans="7:222" ht="34.200000000000003" customHeight="1" x14ac:dyDescent="0.45">
      <c r="G24" s="265" t="s">
        <v>263</v>
      </c>
    </row>
    <row r="25" spans="7:222" ht="22.8" customHeight="1" x14ac:dyDescent="0.45">
      <c r="G25" s="265" t="s">
        <v>184</v>
      </c>
    </row>
    <row r="26" spans="7:222" ht="30" customHeight="1" x14ac:dyDescent="0.45">
      <c r="G26" s="265" t="s">
        <v>264</v>
      </c>
    </row>
    <row r="27" spans="7:222" ht="24.6" customHeight="1" x14ac:dyDescent="0.45">
      <c r="G27" s="265" t="s">
        <v>265</v>
      </c>
    </row>
    <row r="28" spans="7:222" ht="27" customHeight="1" x14ac:dyDescent="0.45">
      <c r="G28" s="265" t="s">
        <v>266</v>
      </c>
    </row>
    <row r="29" spans="7:222" ht="22.8" customHeight="1" x14ac:dyDescent="0.3"/>
    <row r="30" spans="7:222" ht="22.8" customHeight="1" x14ac:dyDescent="0.3"/>
    <row r="31" spans="7:222" ht="20.399999999999999" customHeight="1" x14ac:dyDescent="0.3"/>
    <row r="32" spans="7:222" ht="30" customHeight="1" x14ac:dyDescent="0.3"/>
    <row r="33" ht="36" customHeight="1" x14ac:dyDescent="0.3"/>
    <row r="34" ht="24.6" customHeight="1" x14ac:dyDescent="0.3"/>
    <row r="35" ht="29.4" customHeight="1" x14ac:dyDescent="0.3"/>
    <row r="36" ht="37.200000000000003" customHeight="1" x14ac:dyDescent="0.3"/>
    <row r="37" ht="40.200000000000003" customHeight="1" x14ac:dyDescent="0.3"/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F6F4B-0B8F-44AB-90E6-4238A08388C2}">
  <sheetPr>
    <tabColor rgb="FFFFFF00"/>
  </sheetPr>
  <dimension ref="A1:E26"/>
  <sheetViews>
    <sheetView zoomScale="53" zoomScaleNormal="53" workbookViewId="0">
      <selection sqref="A1:D21"/>
    </sheetView>
  </sheetViews>
  <sheetFormatPr defaultRowHeight="14.4" x14ac:dyDescent="0.3"/>
  <cols>
    <col min="1" max="1" width="13.33203125" customWidth="1"/>
    <col min="2" max="2" width="15.33203125" customWidth="1"/>
    <col min="3" max="3" width="15.5546875" customWidth="1"/>
    <col min="4" max="4" width="18.77734375" customWidth="1"/>
    <col min="5" max="5" width="26.5546875" customWidth="1"/>
    <col min="6" max="6" width="20" customWidth="1"/>
    <col min="7" max="7" width="0.21875" customWidth="1"/>
  </cols>
  <sheetData>
    <row r="1" spans="1:5" ht="21.6" customHeight="1" x14ac:dyDescent="0.45">
      <c r="A1" s="261" t="s">
        <v>345</v>
      </c>
    </row>
    <row r="2" spans="1:5" ht="65.400000000000006" customHeight="1" x14ac:dyDescent="0.3">
      <c r="A2" s="198" t="s">
        <v>350</v>
      </c>
      <c r="B2" s="198" t="s">
        <v>303</v>
      </c>
      <c r="C2" s="163" t="s">
        <v>324</v>
      </c>
      <c r="D2" s="163" t="s">
        <v>304</v>
      </c>
    </row>
    <row r="3" spans="1:5" s="120" customFormat="1" x14ac:dyDescent="0.3">
      <c r="A3" s="26" t="s">
        <v>305</v>
      </c>
      <c r="B3" s="258">
        <v>250</v>
      </c>
      <c r="C3" s="199">
        <v>14.8</v>
      </c>
      <c r="D3" s="199">
        <f>B3-2*C3</f>
        <v>220.4</v>
      </c>
      <c r="E3" s="120" t="s">
        <v>344</v>
      </c>
    </row>
    <row r="4" spans="1:5" s="120" customFormat="1" x14ac:dyDescent="0.3">
      <c r="A4" s="26" t="s">
        <v>306</v>
      </c>
      <c r="B4" s="258">
        <v>250</v>
      </c>
      <c r="C4" s="199">
        <v>14.8</v>
      </c>
      <c r="D4" s="199">
        <f>B4-2*C4</f>
        <v>220.4</v>
      </c>
      <c r="E4" s="120" t="s">
        <v>344</v>
      </c>
    </row>
    <row r="5" spans="1:5" s="120" customFormat="1" x14ac:dyDescent="0.3">
      <c r="A5" s="26" t="s">
        <v>307</v>
      </c>
      <c r="B5" s="258">
        <v>160</v>
      </c>
      <c r="C5" s="199">
        <v>9.5</v>
      </c>
      <c r="D5" s="199">
        <f t="shared" ref="D5:D21" si="0">B5-2*C5</f>
        <v>141</v>
      </c>
    </row>
    <row r="6" spans="1:5" s="120" customFormat="1" x14ac:dyDescent="0.3">
      <c r="A6" s="26" t="s">
        <v>308</v>
      </c>
      <c r="B6" s="258">
        <v>160</v>
      </c>
      <c r="C6" s="199">
        <v>9.5</v>
      </c>
      <c r="D6" s="199">
        <f t="shared" si="0"/>
        <v>141</v>
      </c>
    </row>
    <row r="7" spans="1:5" s="120" customFormat="1" x14ac:dyDescent="0.3">
      <c r="A7" s="26" t="s">
        <v>309</v>
      </c>
      <c r="B7" s="258">
        <v>63</v>
      </c>
      <c r="C7" s="199">
        <v>3.8</v>
      </c>
      <c r="D7" s="199">
        <f t="shared" si="0"/>
        <v>55.4</v>
      </c>
    </row>
    <row r="8" spans="1:5" s="120" customFormat="1" x14ac:dyDescent="0.3">
      <c r="A8" s="26" t="s">
        <v>310</v>
      </c>
      <c r="B8" s="258">
        <v>40</v>
      </c>
      <c r="C8" s="199">
        <v>2.4</v>
      </c>
      <c r="D8" s="199">
        <f t="shared" si="0"/>
        <v>35.200000000000003</v>
      </c>
    </row>
    <row r="9" spans="1:5" s="120" customFormat="1" x14ac:dyDescent="0.3">
      <c r="A9" s="26" t="s">
        <v>311</v>
      </c>
      <c r="B9" s="258">
        <v>125</v>
      </c>
      <c r="C9" s="199">
        <v>7.4</v>
      </c>
      <c r="D9" s="199">
        <f t="shared" si="0"/>
        <v>110.2</v>
      </c>
    </row>
    <row r="10" spans="1:5" s="120" customFormat="1" x14ac:dyDescent="0.3">
      <c r="A10" s="26" t="s">
        <v>312</v>
      </c>
      <c r="B10" s="258">
        <v>63</v>
      </c>
      <c r="C10" s="199">
        <v>3.8</v>
      </c>
      <c r="D10" s="199">
        <f t="shared" si="0"/>
        <v>55.4</v>
      </c>
    </row>
    <row r="11" spans="1:5" s="120" customFormat="1" x14ac:dyDescent="0.3">
      <c r="A11" s="26" t="s">
        <v>313</v>
      </c>
      <c r="B11" s="258">
        <v>110</v>
      </c>
      <c r="C11" s="199">
        <v>6.6</v>
      </c>
      <c r="D11" s="199">
        <f t="shared" si="0"/>
        <v>96.8</v>
      </c>
    </row>
    <row r="12" spans="1:5" s="120" customFormat="1" x14ac:dyDescent="0.3">
      <c r="A12" s="26" t="s">
        <v>314</v>
      </c>
      <c r="B12" s="258">
        <v>125</v>
      </c>
      <c r="C12" s="199">
        <v>7.4</v>
      </c>
      <c r="D12" s="199">
        <f t="shared" si="0"/>
        <v>110.2</v>
      </c>
    </row>
    <row r="13" spans="1:5" s="120" customFormat="1" x14ac:dyDescent="0.3">
      <c r="A13" s="26" t="s">
        <v>315</v>
      </c>
      <c r="B13" s="258">
        <v>160</v>
      </c>
      <c r="C13" s="199">
        <v>9.5</v>
      </c>
      <c r="D13" s="199">
        <f t="shared" si="0"/>
        <v>141</v>
      </c>
    </row>
    <row r="14" spans="1:5" s="120" customFormat="1" x14ac:dyDescent="0.3">
      <c r="A14" s="26" t="s">
        <v>316</v>
      </c>
      <c r="B14" s="258">
        <v>140</v>
      </c>
      <c r="C14" s="199">
        <v>8.3000000000000007</v>
      </c>
      <c r="D14" s="199">
        <f t="shared" si="0"/>
        <v>123.4</v>
      </c>
    </row>
    <row r="15" spans="1:5" s="120" customFormat="1" x14ac:dyDescent="0.3">
      <c r="A15" s="26" t="s">
        <v>317</v>
      </c>
      <c r="B15" s="258">
        <v>225</v>
      </c>
      <c r="C15" s="199">
        <v>13.4</v>
      </c>
      <c r="D15" s="199">
        <f t="shared" si="0"/>
        <v>198.2</v>
      </c>
    </row>
    <row r="16" spans="1:5" s="120" customFormat="1" x14ac:dyDescent="0.3">
      <c r="A16" s="26" t="s">
        <v>318</v>
      </c>
      <c r="B16" s="258">
        <v>110</v>
      </c>
      <c r="C16" s="199">
        <v>6.6</v>
      </c>
      <c r="D16" s="199">
        <f t="shared" si="0"/>
        <v>96.8</v>
      </c>
    </row>
    <row r="17" spans="1:4" s="120" customFormat="1" x14ac:dyDescent="0.3">
      <c r="A17" s="26" t="s">
        <v>319</v>
      </c>
      <c r="B17" s="258">
        <v>125</v>
      </c>
      <c r="C17" s="199">
        <v>7.4</v>
      </c>
      <c r="D17" s="199">
        <f t="shared" si="0"/>
        <v>110.2</v>
      </c>
    </row>
    <row r="18" spans="1:4" s="120" customFormat="1" x14ac:dyDescent="0.3">
      <c r="A18" s="26" t="s">
        <v>320</v>
      </c>
      <c r="B18" s="258">
        <v>160</v>
      </c>
      <c r="C18" s="199">
        <v>9.5</v>
      </c>
      <c r="D18" s="199">
        <f t="shared" si="0"/>
        <v>141</v>
      </c>
    </row>
    <row r="19" spans="1:4" s="120" customFormat="1" x14ac:dyDescent="0.3">
      <c r="A19" s="200" t="s">
        <v>321</v>
      </c>
      <c r="B19" s="258">
        <v>110</v>
      </c>
      <c r="C19" s="199">
        <v>6.6</v>
      </c>
      <c r="D19" s="199">
        <f t="shared" si="0"/>
        <v>96.8</v>
      </c>
    </row>
    <row r="20" spans="1:4" s="120" customFormat="1" ht="13.8" customHeight="1" x14ac:dyDescent="0.3">
      <c r="A20" s="201" t="s">
        <v>322</v>
      </c>
      <c r="B20" s="258">
        <v>125</v>
      </c>
      <c r="C20" s="199">
        <v>7.4</v>
      </c>
      <c r="D20" s="199">
        <f t="shared" si="0"/>
        <v>110.2</v>
      </c>
    </row>
    <row r="21" spans="1:4" x14ac:dyDescent="0.3">
      <c r="A21" s="197" t="s">
        <v>323</v>
      </c>
      <c r="B21" s="258">
        <v>125</v>
      </c>
      <c r="C21" s="165">
        <v>7.4</v>
      </c>
      <c r="D21" s="165">
        <f t="shared" si="0"/>
        <v>110.2</v>
      </c>
    </row>
    <row r="23" spans="1:4" ht="21" x14ac:dyDescent="0.4">
      <c r="A23" s="202" t="s">
        <v>349</v>
      </c>
    </row>
    <row r="24" spans="1:4" x14ac:dyDescent="0.3">
      <c r="A24" t="s">
        <v>325</v>
      </c>
      <c r="B24">
        <f xml:space="preserve"> 234-190+40</f>
        <v>84</v>
      </c>
    </row>
    <row r="25" spans="1:4" x14ac:dyDescent="0.3">
      <c r="A25" t="s">
        <v>326</v>
      </c>
      <c r="B25">
        <f>(9.81*B24)/100</f>
        <v>8.2404000000000011</v>
      </c>
      <c r="C25" t="s">
        <v>329</v>
      </c>
    </row>
    <row r="26" spans="1:4" x14ac:dyDescent="0.3">
      <c r="A26" t="s">
        <v>327</v>
      </c>
      <c r="B26">
        <v>10</v>
      </c>
      <c r="C26" t="s">
        <v>328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2F5F1-E0EA-4914-8941-08098C0D81B7}">
  <sheetPr>
    <tabColor rgb="FFFFFF00"/>
  </sheetPr>
  <dimension ref="A1:J34"/>
  <sheetViews>
    <sheetView zoomScale="73" zoomScaleNormal="73" workbookViewId="0">
      <selection activeCell="E30" sqref="E30"/>
    </sheetView>
  </sheetViews>
  <sheetFormatPr defaultRowHeight="14.4" x14ac:dyDescent="0.3"/>
  <cols>
    <col min="1" max="1" width="16.88671875" customWidth="1"/>
    <col min="2" max="2" width="16.109375" customWidth="1"/>
    <col min="3" max="3" width="12.44140625" customWidth="1"/>
    <col min="4" max="4" width="15.44140625" customWidth="1"/>
    <col min="6" max="6" width="11.33203125" customWidth="1"/>
    <col min="7" max="7" width="14.88671875" customWidth="1"/>
    <col min="8" max="8" width="17.6640625" customWidth="1"/>
    <col min="9" max="9" width="12.109375" customWidth="1"/>
    <col min="10" max="10" width="16.109375" customWidth="1"/>
  </cols>
  <sheetData>
    <row r="1" spans="1:10" ht="15.6" x14ac:dyDescent="0.3">
      <c r="A1" s="183" t="s">
        <v>296</v>
      </c>
      <c r="F1" s="183" t="s">
        <v>297</v>
      </c>
    </row>
    <row r="2" spans="1:10" x14ac:dyDescent="0.3">
      <c r="A2" t="s">
        <v>299</v>
      </c>
      <c r="F2" t="s">
        <v>347</v>
      </c>
    </row>
    <row r="4" spans="1:10" ht="57.6" x14ac:dyDescent="0.3">
      <c r="A4" s="169" t="s">
        <v>252</v>
      </c>
      <c r="B4" s="195" t="s">
        <v>294</v>
      </c>
      <c r="C4" s="196" t="s">
        <v>301</v>
      </c>
      <c r="D4" s="196" t="s">
        <v>300</v>
      </c>
      <c r="F4" s="169" t="s">
        <v>252</v>
      </c>
      <c r="G4" s="195" t="s">
        <v>294</v>
      </c>
      <c r="H4" s="163" t="s">
        <v>298</v>
      </c>
      <c r="I4" s="163" t="s">
        <v>302</v>
      </c>
      <c r="J4" s="196" t="s">
        <v>351</v>
      </c>
    </row>
    <row r="5" spans="1:10" x14ac:dyDescent="0.3">
      <c r="A5" s="166" t="s">
        <v>253</v>
      </c>
      <c r="B5" s="165">
        <v>230</v>
      </c>
      <c r="C5" s="165">
        <f t="shared" ref="C5:C19" si="0">234-B5</f>
        <v>4</v>
      </c>
      <c r="D5" s="166" t="s">
        <v>295</v>
      </c>
      <c r="F5" s="166" t="s">
        <v>253</v>
      </c>
      <c r="G5" s="165">
        <v>230</v>
      </c>
      <c r="H5" s="165">
        <f>G5+16</f>
        <v>246</v>
      </c>
      <c r="I5" s="165">
        <f>231-H5</f>
        <v>-15</v>
      </c>
      <c r="J5" s="166" t="s">
        <v>295</v>
      </c>
    </row>
    <row r="6" spans="1:10" x14ac:dyDescent="0.3">
      <c r="A6" s="166" t="s">
        <v>254</v>
      </c>
      <c r="B6" s="165">
        <v>215</v>
      </c>
      <c r="C6" s="165">
        <f t="shared" si="0"/>
        <v>19</v>
      </c>
      <c r="D6" s="166" t="s">
        <v>295</v>
      </c>
      <c r="F6" s="166" t="s">
        <v>254</v>
      </c>
      <c r="G6" s="165">
        <v>215</v>
      </c>
      <c r="H6" s="165">
        <f t="shared" ref="H6:H19" si="1">G6+16</f>
        <v>231</v>
      </c>
      <c r="I6" s="165">
        <f t="shared" ref="I6:I19" si="2">231-H6</f>
        <v>0</v>
      </c>
      <c r="J6" s="166" t="s">
        <v>295</v>
      </c>
    </row>
    <row r="7" spans="1:10" x14ac:dyDescent="0.3">
      <c r="A7" s="166" t="s">
        <v>255</v>
      </c>
      <c r="B7" s="165">
        <v>195</v>
      </c>
      <c r="C7" s="165">
        <f t="shared" si="0"/>
        <v>39</v>
      </c>
      <c r="D7" s="166" t="s">
        <v>295</v>
      </c>
      <c r="F7" s="166" t="s">
        <v>255</v>
      </c>
      <c r="G7" s="165">
        <v>195</v>
      </c>
      <c r="H7" s="165">
        <f t="shared" si="1"/>
        <v>211</v>
      </c>
      <c r="I7" s="165">
        <f t="shared" si="2"/>
        <v>20</v>
      </c>
      <c r="J7" s="166" t="s">
        <v>295</v>
      </c>
    </row>
    <row r="8" spans="1:10" x14ac:dyDescent="0.3">
      <c r="A8" s="166" t="s">
        <v>256</v>
      </c>
      <c r="B8" s="165">
        <v>193</v>
      </c>
      <c r="C8" s="165">
        <f t="shared" si="0"/>
        <v>41</v>
      </c>
      <c r="D8" s="166" t="s">
        <v>295</v>
      </c>
      <c r="F8" s="166" t="s">
        <v>256</v>
      </c>
      <c r="G8" s="165">
        <v>193</v>
      </c>
      <c r="H8" s="165">
        <f t="shared" si="1"/>
        <v>209</v>
      </c>
      <c r="I8" s="165">
        <f t="shared" si="2"/>
        <v>22</v>
      </c>
      <c r="J8" s="166" t="s">
        <v>295</v>
      </c>
    </row>
    <row r="9" spans="1:10" x14ac:dyDescent="0.3">
      <c r="A9" s="166" t="s">
        <v>257</v>
      </c>
      <c r="B9" s="165">
        <v>190</v>
      </c>
      <c r="C9" s="165">
        <f t="shared" si="0"/>
        <v>44</v>
      </c>
      <c r="D9" s="166" t="s">
        <v>295</v>
      </c>
      <c r="F9" s="166" t="s">
        <v>257</v>
      </c>
      <c r="G9" s="165">
        <v>190</v>
      </c>
      <c r="H9" s="165">
        <f t="shared" si="1"/>
        <v>206</v>
      </c>
      <c r="I9" s="165">
        <f t="shared" si="2"/>
        <v>25</v>
      </c>
      <c r="J9" s="166" t="s">
        <v>295</v>
      </c>
    </row>
    <row r="10" spans="1:10" x14ac:dyDescent="0.3">
      <c r="A10" s="166" t="s">
        <v>258</v>
      </c>
      <c r="B10" s="165">
        <v>193</v>
      </c>
      <c r="C10" s="165">
        <f t="shared" si="0"/>
        <v>41</v>
      </c>
      <c r="D10" s="166" t="s">
        <v>295</v>
      </c>
      <c r="F10" s="166" t="s">
        <v>258</v>
      </c>
      <c r="G10" s="165">
        <v>193</v>
      </c>
      <c r="H10" s="165">
        <f t="shared" si="1"/>
        <v>209</v>
      </c>
      <c r="I10" s="165">
        <f t="shared" si="2"/>
        <v>22</v>
      </c>
      <c r="J10" s="166" t="s">
        <v>295</v>
      </c>
    </row>
    <row r="11" spans="1:10" x14ac:dyDescent="0.3">
      <c r="A11" s="166" t="s">
        <v>259</v>
      </c>
      <c r="B11" s="165">
        <v>197</v>
      </c>
      <c r="C11" s="165">
        <f t="shared" si="0"/>
        <v>37</v>
      </c>
      <c r="D11" s="166" t="s">
        <v>295</v>
      </c>
      <c r="F11" s="166" t="s">
        <v>259</v>
      </c>
      <c r="G11" s="165">
        <v>197</v>
      </c>
      <c r="H11" s="165">
        <f t="shared" si="1"/>
        <v>213</v>
      </c>
      <c r="I11" s="165">
        <f t="shared" si="2"/>
        <v>18</v>
      </c>
      <c r="J11" s="166" t="s">
        <v>295</v>
      </c>
    </row>
    <row r="12" spans="1:10" x14ac:dyDescent="0.3">
      <c r="A12" s="166" t="s">
        <v>260</v>
      </c>
      <c r="B12" s="165">
        <v>197</v>
      </c>
      <c r="C12" s="165">
        <f t="shared" si="0"/>
        <v>37</v>
      </c>
      <c r="D12" s="166" t="s">
        <v>295</v>
      </c>
      <c r="F12" s="166" t="s">
        <v>260</v>
      </c>
      <c r="G12" s="165">
        <v>197</v>
      </c>
      <c r="H12" s="165">
        <f t="shared" si="1"/>
        <v>213</v>
      </c>
      <c r="I12" s="165">
        <f t="shared" si="2"/>
        <v>18</v>
      </c>
      <c r="J12" s="166" t="s">
        <v>295</v>
      </c>
    </row>
    <row r="13" spans="1:10" x14ac:dyDescent="0.3">
      <c r="A13" s="166" t="s">
        <v>261</v>
      </c>
      <c r="B13" s="165">
        <v>198</v>
      </c>
      <c r="C13" s="165">
        <f t="shared" si="0"/>
        <v>36</v>
      </c>
      <c r="D13" s="166" t="s">
        <v>295</v>
      </c>
      <c r="F13" s="166" t="s">
        <v>261</v>
      </c>
      <c r="G13" s="165">
        <v>198</v>
      </c>
      <c r="H13" s="165">
        <f t="shared" si="1"/>
        <v>214</v>
      </c>
      <c r="I13" s="165">
        <f t="shared" si="2"/>
        <v>17</v>
      </c>
      <c r="J13" s="166" t="s">
        <v>295</v>
      </c>
    </row>
    <row r="14" spans="1:10" x14ac:dyDescent="0.3">
      <c r="A14" s="166" t="s">
        <v>262</v>
      </c>
      <c r="B14" s="165">
        <v>199</v>
      </c>
      <c r="C14" s="165">
        <f t="shared" si="0"/>
        <v>35</v>
      </c>
      <c r="D14" s="166" t="s">
        <v>295</v>
      </c>
      <c r="F14" s="166" t="s">
        <v>262</v>
      </c>
      <c r="G14" s="165">
        <v>199</v>
      </c>
      <c r="H14" s="165">
        <f t="shared" si="1"/>
        <v>215</v>
      </c>
      <c r="I14" s="165">
        <f t="shared" si="2"/>
        <v>16</v>
      </c>
      <c r="J14" s="166" t="s">
        <v>295</v>
      </c>
    </row>
    <row r="15" spans="1:10" x14ac:dyDescent="0.3">
      <c r="A15" s="166" t="s">
        <v>263</v>
      </c>
      <c r="B15" s="165">
        <v>200</v>
      </c>
      <c r="C15" s="165">
        <f t="shared" si="0"/>
        <v>34</v>
      </c>
      <c r="D15" s="166" t="s">
        <v>295</v>
      </c>
      <c r="F15" s="166" t="s">
        <v>263</v>
      </c>
      <c r="G15" s="165">
        <v>200</v>
      </c>
      <c r="H15" s="165">
        <f t="shared" si="1"/>
        <v>216</v>
      </c>
      <c r="I15" s="165">
        <f t="shared" si="2"/>
        <v>15</v>
      </c>
      <c r="J15" s="166" t="s">
        <v>295</v>
      </c>
    </row>
    <row r="16" spans="1:10" x14ac:dyDescent="0.3">
      <c r="A16" s="166" t="s">
        <v>184</v>
      </c>
      <c r="B16" s="165">
        <v>200</v>
      </c>
      <c r="C16" s="165">
        <f t="shared" si="0"/>
        <v>34</v>
      </c>
      <c r="D16" s="166" t="s">
        <v>295</v>
      </c>
      <c r="F16" s="166" t="s">
        <v>184</v>
      </c>
      <c r="G16" s="165">
        <v>200</v>
      </c>
      <c r="H16" s="165">
        <f t="shared" si="1"/>
        <v>216</v>
      </c>
      <c r="I16" s="165">
        <f t="shared" si="2"/>
        <v>15</v>
      </c>
      <c r="J16" s="166" t="s">
        <v>295</v>
      </c>
    </row>
    <row r="17" spans="1:10" x14ac:dyDescent="0.3">
      <c r="A17" s="166" t="s">
        <v>264</v>
      </c>
      <c r="B17" s="165">
        <v>195</v>
      </c>
      <c r="C17" s="165">
        <f t="shared" si="0"/>
        <v>39</v>
      </c>
      <c r="D17" s="166" t="s">
        <v>295</v>
      </c>
      <c r="F17" s="166" t="s">
        <v>264</v>
      </c>
      <c r="G17" s="165">
        <v>195</v>
      </c>
      <c r="H17" s="165">
        <f t="shared" si="1"/>
        <v>211</v>
      </c>
      <c r="I17" s="165">
        <f t="shared" si="2"/>
        <v>20</v>
      </c>
      <c r="J17" s="166" t="s">
        <v>295</v>
      </c>
    </row>
    <row r="18" spans="1:10" x14ac:dyDescent="0.3">
      <c r="A18" s="166" t="s">
        <v>265</v>
      </c>
      <c r="B18" s="165">
        <v>194</v>
      </c>
      <c r="C18" s="165">
        <f t="shared" si="0"/>
        <v>40</v>
      </c>
      <c r="D18" s="166" t="s">
        <v>295</v>
      </c>
      <c r="F18" s="166" t="s">
        <v>265</v>
      </c>
      <c r="G18" s="165">
        <v>194</v>
      </c>
      <c r="H18" s="165">
        <f t="shared" si="1"/>
        <v>210</v>
      </c>
      <c r="I18" s="165">
        <f t="shared" si="2"/>
        <v>21</v>
      </c>
      <c r="J18" s="166" t="s">
        <v>295</v>
      </c>
    </row>
    <row r="19" spans="1:10" x14ac:dyDescent="0.3">
      <c r="A19" s="166" t="s">
        <v>266</v>
      </c>
      <c r="B19" s="165">
        <v>200</v>
      </c>
      <c r="C19" s="165">
        <f t="shared" si="0"/>
        <v>34</v>
      </c>
      <c r="D19" s="166" t="s">
        <v>295</v>
      </c>
      <c r="F19" s="166" t="s">
        <v>266</v>
      </c>
      <c r="G19" s="165">
        <v>200</v>
      </c>
      <c r="H19" s="165">
        <f t="shared" si="1"/>
        <v>216</v>
      </c>
      <c r="I19" s="165">
        <f t="shared" si="2"/>
        <v>15</v>
      </c>
      <c r="J19" s="166" t="s">
        <v>295</v>
      </c>
    </row>
    <row r="34" spans="10:10" x14ac:dyDescent="0.3">
      <c r="J34" t="s">
        <v>149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85B35-6883-4B07-A9A2-0E386A4B9DCE}">
  <dimension ref="A1:X38"/>
  <sheetViews>
    <sheetView workbookViewId="0">
      <selection activeCell="B6" sqref="B6"/>
    </sheetView>
  </sheetViews>
  <sheetFormatPr defaultRowHeight="14.4" x14ac:dyDescent="0.3"/>
  <cols>
    <col min="3" max="3" width="8.77734375" customWidth="1"/>
    <col min="4" max="4" width="10.5546875" bestFit="1" customWidth="1"/>
    <col min="5" max="5" width="9.77734375" bestFit="1" customWidth="1"/>
    <col min="6" max="6" width="12.5546875" bestFit="1" customWidth="1"/>
    <col min="8" max="8" width="14.77734375" customWidth="1"/>
    <col min="9" max="10" width="12" bestFit="1" customWidth="1"/>
  </cols>
  <sheetData>
    <row r="1" spans="1:16" x14ac:dyDescent="0.3">
      <c r="A1" s="253" t="s">
        <v>174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</row>
    <row r="2" spans="1:16" ht="15" thickBot="1" x14ac:dyDescent="0.35">
      <c r="A2" s="65"/>
      <c r="B2" s="49" t="s">
        <v>168</v>
      </c>
      <c r="C2" s="49" t="s">
        <v>178</v>
      </c>
      <c r="D2" s="49" t="s">
        <v>179</v>
      </c>
      <c r="E2" s="49" t="s">
        <v>176</v>
      </c>
      <c r="F2" s="49" t="s">
        <v>177</v>
      </c>
      <c r="G2" s="49" t="s">
        <v>175</v>
      </c>
      <c r="H2" s="49" t="s">
        <v>169</v>
      </c>
      <c r="I2" s="49" t="s">
        <v>170</v>
      </c>
      <c r="J2" s="49" t="s">
        <v>171</v>
      </c>
      <c r="K2" s="49" t="s">
        <v>172</v>
      </c>
      <c r="L2" s="66" t="s">
        <v>173</v>
      </c>
    </row>
    <row r="3" spans="1:16" ht="15" thickBot="1" x14ac:dyDescent="0.35">
      <c r="A3" s="38" t="s">
        <v>137</v>
      </c>
      <c r="B3" s="38">
        <f>123.4/1000</f>
        <v>0.12340000000000001</v>
      </c>
      <c r="C3" s="38">
        <v>0.14000000000000001</v>
      </c>
      <c r="D3" s="59">
        <v>1000000</v>
      </c>
      <c r="E3" s="38">
        <v>998.2</v>
      </c>
      <c r="F3" s="59">
        <f>2.08*10^8</f>
        <v>208000000</v>
      </c>
      <c r="G3" s="38">
        <v>9.81</v>
      </c>
      <c r="H3" s="38">
        <f>SQRT((G3/E3)/((1/F3)+(B3/(C3*D3))))</f>
        <v>105.30547767958727</v>
      </c>
      <c r="I3" s="38">
        <v>510</v>
      </c>
      <c r="J3" s="38">
        <f>2*I3/H3</f>
        <v>9.6861058178146404</v>
      </c>
      <c r="K3" s="38">
        <v>1.36</v>
      </c>
      <c r="L3" s="67">
        <f>(H3*K3)/G3</f>
        <v>14.598924530503435</v>
      </c>
      <c r="O3" s="252"/>
      <c r="P3" s="252"/>
    </row>
    <row r="4" spans="1:16" ht="15" thickBot="1" x14ac:dyDescent="0.35">
      <c r="A4" s="38" t="s">
        <v>166</v>
      </c>
      <c r="B4" s="38">
        <f>220.4/1000</f>
        <v>0.22040000000000001</v>
      </c>
      <c r="C4" s="38">
        <v>0.25</v>
      </c>
      <c r="D4" s="59">
        <v>1000000</v>
      </c>
      <c r="E4" s="38">
        <v>998.2</v>
      </c>
      <c r="F4" s="59">
        <f t="shared" ref="F4:F5" si="0">2.08*10^8</f>
        <v>208000000</v>
      </c>
      <c r="G4" s="38">
        <v>9.81</v>
      </c>
      <c r="H4" s="38">
        <f t="shared" ref="H4:H5" si="1">SQRT((G4/E4)/((1/F4)+(B4/(C4*D4))))</f>
        <v>105.29529430648387</v>
      </c>
      <c r="I4" s="38">
        <v>580</v>
      </c>
      <c r="J4" s="38">
        <f t="shared" ref="J4:J5" si="2">2*I4/H4</f>
        <v>11.016636665866365</v>
      </c>
      <c r="K4" s="38">
        <v>1.89</v>
      </c>
      <c r="L4" s="67">
        <f t="shared" ref="L4:L5" si="3">(H4*K4)/G4</f>
        <v>20.286249361799641</v>
      </c>
    </row>
    <row r="5" spans="1:16" ht="15" thickBot="1" x14ac:dyDescent="0.35">
      <c r="A5" s="38" t="s">
        <v>136</v>
      </c>
      <c r="B5" s="38">
        <f>213/1000</f>
        <v>0.21299999999999999</v>
      </c>
      <c r="C5" s="38">
        <v>0.28000000000000003</v>
      </c>
      <c r="D5" s="59">
        <v>1000000</v>
      </c>
      <c r="E5" s="38">
        <v>998.2</v>
      </c>
      <c r="F5" s="59">
        <f t="shared" si="0"/>
        <v>208000000</v>
      </c>
      <c r="G5" s="38">
        <v>9.81</v>
      </c>
      <c r="H5" s="38">
        <f t="shared" si="1"/>
        <v>113.30442966675059</v>
      </c>
      <c r="I5" s="38">
        <v>700</v>
      </c>
      <c r="J5" s="38">
        <f t="shared" si="2"/>
        <v>12.356092379774211</v>
      </c>
      <c r="K5" s="38">
        <v>1.1100000000000001</v>
      </c>
      <c r="L5" s="67">
        <f t="shared" si="3"/>
        <v>12.820378891956489</v>
      </c>
    </row>
    <row r="8" spans="1:16" x14ac:dyDescent="0.3">
      <c r="N8" s="224"/>
      <c r="O8" s="224"/>
    </row>
    <row r="17" spans="13:24" x14ac:dyDescent="0.3">
      <c r="M17" s="64"/>
      <c r="N17" s="64"/>
      <c r="O17" s="64"/>
      <c r="P17" s="64"/>
      <c r="Q17" s="64"/>
      <c r="R17" s="64"/>
      <c r="S17" s="64"/>
      <c r="T17" s="64"/>
      <c r="U17" s="64"/>
      <c r="V17" s="64"/>
    </row>
    <row r="19" spans="13:24" x14ac:dyDescent="0.3">
      <c r="M19" s="1"/>
      <c r="P19" s="252"/>
      <c r="Q19" s="252"/>
    </row>
    <row r="20" spans="13:24" x14ac:dyDescent="0.3">
      <c r="M20" s="1"/>
    </row>
    <row r="21" spans="13:24" x14ac:dyDescent="0.3">
      <c r="M21" s="1"/>
    </row>
    <row r="24" spans="13:24" x14ac:dyDescent="0.3">
      <c r="M24" s="1"/>
      <c r="O24" s="224"/>
      <c r="P24" s="224"/>
    </row>
    <row r="25" spans="13:24" x14ac:dyDescent="0.3">
      <c r="X25" s="1"/>
    </row>
    <row r="37" spans="13:18" x14ac:dyDescent="0.3">
      <c r="M37" s="247"/>
      <c r="N37" s="224"/>
      <c r="O37" s="224"/>
      <c r="P37" s="224"/>
      <c r="Q37" s="224"/>
      <c r="R37" s="248"/>
    </row>
    <row r="38" spans="13:18" x14ac:dyDescent="0.3">
      <c r="M38" s="249"/>
      <c r="N38" s="250"/>
      <c r="O38" s="250"/>
      <c r="P38" s="250"/>
      <c r="Q38" s="250"/>
      <c r="R38" s="251"/>
    </row>
  </sheetData>
  <mergeCells count="7">
    <mergeCell ref="M37:R37"/>
    <mergeCell ref="M38:R38"/>
    <mergeCell ref="O3:P3"/>
    <mergeCell ref="N8:O8"/>
    <mergeCell ref="A1:L1"/>
    <mergeCell ref="P19:Q19"/>
    <mergeCell ref="O24:P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8</vt:i4>
      </vt:variant>
    </vt:vector>
  </HeadingPairs>
  <TitlesOfParts>
    <vt:vector size="8" baseType="lpstr">
      <vt:lpstr>Δεδομένα εκφώνησης</vt:lpstr>
      <vt:lpstr>1.1</vt:lpstr>
      <vt:lpstr>1.2</vt:lpstr>
      <vt:lpstr>1.3 </vt:lpstr>
      <vt:lpstr>1.5</vt:lpstr>
      <vt:lpstr>1.6</vt:lpstr>
      <vt:lpstr>1.7</vt:lpstr>
      <vt:lpstr>1.3 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Sotiris Tsitsilonis</dc:creator>
  <cp:lastModifiedBy>iUser</cp:lastModifiedBy>
  <dcterms:created xsi:type="dcterms:W3CDTF">2016-02-17T10:05:22Z</dcterms:created>
  <dcterms:modified xsi:type="dcterms:W3CDTF">2023-06-06T10:52:59Z</dcterms:modified>
</cp:coreProperties>
</file>